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an\OneDrive\Desktop\IRMA NURANISA\4. IBLAM\2022\AGU\GL dan Kertas Kerja Pajak\"/>
    </mc:Choice>
  </mc:AlternateContent>
  <xr:revisionPtr revIDLastSave="0" documentId="13_ncr:1_{C95AB0B8-CD9E-42D5-BFCD-54E6AB28B7D4}" xr6:coauthVersionLast="47" xr6:coauthVersionMax="47" xr10:uidLastSave="{00000000-0000-0000-0000-000000000000}"/>
  <bookViews>
    <workbookView xWindow="-120" yWindow="-120" windowWidth="20730" windowHeight="11040" tabRatio="750" firstSheet="1" activeTab="1" xr2:uid="{00000000-000D-0000-FFFF-FFFF00000000}"/>
  </bookViews>
  <sheets>
    <sheet name="Data Karyawan" sheetId="46" state="hidden" r:id="rId1"/>
    <sheet name="Summary PPh 21" sheetId="29" r:id="rId2"/>
    <sheet name="Pegawai Tidak Tetap" sheetId="32" r:id="rId3"/>
    <sheet name="Aisha Mutiara S" sheetId="85" r:id="rId4"/>
    <sheet name="Asri" sheetId="88" state="hidden" r:id="rId5"/>
    <sheet name="Fatimah Ratna Wijaya" sheetId="84" r:id="rId6"/>
    <sheet name="Rahmat Dwi Putranto" sheetId="86" r:id="rId7"/>
    <sheet name="Slamet" sheetId="117" r:id="rId8"/>
    <sheet name="Riandy" sheetId="118" state="hidden" r:id="rId9"/>
    <sheet name="Abdul Muis" sheetId="77" state="hidden" r:id="rId10"/>
    <sheet name="Adelia Reztiar Marlen" sheetId="73" r:id="rId11"/>
    <sheet name="Agri Chairunisa Isradjuningtias" sheetId="59" state="hidden" r:id="rId12"/>
    <sheet name="Aldian Kahfi" sheetId="83" r:id="rId13"/>
    <sheet name="Andriana Kusumawati" sheetId="60" r:id="rId14"/>
    <sheet name="Ardiansyah" sheetId="54" r:id="rId15"/>
    <sheet name="Arif Awangga" sheetId="95" r:id="rId16"/>
    <sheet name="Arrum Budi Leksono" sheetId="48" r:id="rId17"/>
    <sheet name="Bella Tri Cahyani" sheetId="102" r:id="rId18"/>
    <sheet name="Devi Tri Indriyani" sheetId="67" r:id="rId19"/>
    <sheet name="Dewi Septiani" sheetId="66" r:id="rId20"/>
    <sheet name="Dwi Yunitasari" sheetId="81" r:id="rId21"/>
    <sheet name="Endang Setiawati" sheetId="92" state="hidden" r:id="rId22"/>
    <sheet name="E. Nuryakin" sheetId="61" r:id="rId23"/>
    <sheet name="Fakhlur" sheetId="56" r:id="rId24"/>
    <sheet name="Fakhlur Ikhram Haris" sheetId="74" state="hidden" r:id="rId25"/>
    <sheet name="Feny Windiyastuti" sheetId="55" r:id="rId26"/>
    <sheet name="Gunawan Nachrawi" sheetId="3" r:id="rId27"/>
    <sheet name="Heriandi Budiono" sheetId="63" r:id="rId28"/>
    <sheet name="Indah Prisilia " sheetId="96" r:id="rId29"/>
    <sheet name="Indra Bayu Cahyadi" sheetId="104" state="hidden" r:id="rId30"/>
    <sheet name="Jamiatur Robekha" sheetId="49" r:id="rId31"/>
    <sheet name="Kenzo Aldio" sheetId="64" r:id="rId32"/>
    <sheet name="Khotijah" sheetId="53" r:id="rId33"/>
    <sheet name="Lisa Sugiyanti" sheetId="71" r:id="rId34"/>
    <sheet name="Marjan Miharja" sheetId="47" r:id="rId35"/>
    <sheet name="Melvalita Widyawati" sheetId="72" r:id="rId36"/>
    <sheet name="Misbahul Huda" sheetId="58" r:id="rId37"/>
    <sheet name="M. Fajar Romadon" sheetId="138" r:id="rId38"/>
    <sheet name="Naufal Nurrohman" sheetId="100" state="hidden" r:id="rId39"/>
    <sheet name="Novia Eka Angraini" sheetId="101" state="hidden" r:id="rId40"/>
    <sheet name="Nurfani Riadi" sheetId="111" state="hidden" r:id="rId41"/>
    <sheet name="Priantoro" sheetId="80" state="hidden" r:id="rId42"/>
    <sheet name="Radika Husaini" sheetId="87" r:id="rId43"/>
    <sheet name="Rani Yuwafi" sheetId="51" r:id="rId44"/>
    <sheet name="Riska Pramelia" sheetId="82" state="hidden" r:id="rId45"/>
    <sheet name="Salma Fadillah" sheetId="70" r:id="rId46"/>
    <sheet name="Sandi Nugraha" sheetId="79" r:id="rId47"/>
    <sheet name="Security" sheetId="93" state="hidden" r:id="rId48"/>
    <sheet name="Sri Wulandara" sheetId="50" r:id="rId49"/>
    <sheet name="Suharto" sheetId="52" r:id="rId50"/>
    <sheet name="Susilawati" sheetId="65" r:id="rId51"/>
    <sheet name="Suyogi Imam Fauzi" sheetId="94" state="hidden" r:id="rId52"/>
    <sheet name="Taufan Teguh Akbari" sheetId="103" r:id="rId53"/>
    <sheet name="Tika Rahayu" sheetId="68" r:id="rId54"/>
    <sheet name="Uzlifatul Jannah" sheetId="62" r:id="rId55"/>
    <sheet name="Wahyu Mustajab" sheetId="98" r:id="rId56"/>
    <sheet name="Wihendy" sheetId="97" r:id="rId57"/>
    <sheet name="Fauji Ashari" sheetId="89" r:id="rId58"/>
    <sheet name="Wita Maulida" sheetId="76" r:id="rId59"/>
    <sheet name="Yeni Karlina" sheetId="75" state="hidden" r:id="rId60"/>
    <sheet name="Yolla Aprilianny" sheetId="69" r:id="rId61"/>
    <sheet name="Yulius Alfredo" sheetId="78" state="hidden" r:id="rId62"/>
    <sheet name="Zamroni" sheetId="57" r:id="rId63"/>
    <sheet name="Braponta Sembiring Pandia" sheetId="108" state="hidden" r:id="rId64"/>
    <sheet name="Dimas Hardianto Saputro" sheetId="109" state="hidden" r:id="rId65"/>
    <sheet name="Ibnu Mubarok" sheetId="106" r:id="rId66"/>
    <sheet name="Mario Agustian Lasut" sheetId="113" state="hidden" r:id="rId67"/>
    <sheet name="Muhammad Iin Bahrain" sheetId="105" r:id="rId68"/>
    <sheet name="Muhammad Kajoen" sheetId="91" state="hidden" r:id="rId69"/>
    <sheet name="Onny Putranti" sheetId="90" r:id="rId70"/>
    <sheet name="Shabrina Adani" sheetId="115" state="hidden" r:id="rId71"/>
    <sheet name="Wahilul Syahid Rido" sheetId="116" r:id="rId72"/>
    <sheet name="Ahmad Saiful Anwar" sheetId="119" state="hidden" r:id="rId73"/>
    <sheet name="Rifky Hendrawan" sheetId="120" state="hidden" r:id="rId74"/>
    <sheet name="Rohim Akbar" sheetId="114" r:id="rId75"/>
    <sheet name="Bagas Bintang Dwicahyo W" sheetId="122" r:id="rId76"/>
    <sheet name="Rista Hutammy Tularbi" sheetId="124" r:id="rId77"/>
    <sheet name="Septi Farania" sheetId="125" r:id="rId78"/>
    <sheet name="Septian Ardiansyah" sheetId="127" r:id="rId79"/>
    <sheet name="Farhandhika Nurrizki" sheetId="128" r:id="rId80"/>
    <sheet name="Lukmanul Hakim" sheetId="129" r:id="rId81"/>
    <sheet name="Umar Zaelani" sheetId="130" r:id="rId82"/>
    <sheet name="FATMA LELY HARTATI" sheetId="131" state="hidden" r:id="rId83"/>
    <sheet name="Geraldy Fachriza" sheetId="132" r:id="rId84"/>
    <sheet name="RUSMIATI" sheetId="133" state="hidden" r:id="rId85"/>
    <sheet name="RISKAWATI" sheetId="134" r:id="rId86"/>
    <sheet name="EKO MINTARTI" sheetId="135" r:id="rId87"/>
    <sheet name="THERESIA MINARSIH" sheetId="136" state="hidden" r:id="rId88"/>
    <sheet name="LESTARIYANI" sheetId="137" r:id="rId89"/>
    <sheet name="Solihati" sheetId="139" r:id="rId90"/>
    <sheet name="Art Rasna" sheetId="140" r:id="rId91"/>
    <sheet name="Aat Fatimatuzzahro" sheetId="141" r:id="rId92"/>
    <sheet name="Lidia Fitria Ningsih" sheetId="142" r:id="rId93"/>
    <sheet name="Gali Ayuningtyas" sheetId="147" r:id="rId94"/>
    <sheet name="Hayyu Nurrafi" sheetId="148" r:id="rId95"/>
    <sheet name="Ardan Moris Fendi Arjanggi" sheetId="144" r:id="rId96"/>
    <sheet name="Hidya Anindyati" sheetId="146" r:id="rId97"/>
    <sheet name="DANDI" sheetId="145" r:id="rId98"/>
    <sheet name="Heni Dwi Riyanti" sheetId="149" r:id="rId99"/>
    <sheet name="Mohammad Agus" sheetId="150" r:id="rId100"/>
    <sheet name="Muhammad Syafei" sheetId="121" r:id="rId101"/>
    <sheet name="Septian Tri Saputro" sheetId="151" r:id="rId102"/>
  </sheets>
  <externalReferences>
    <externalReference r:id="rId103"/>
  </externalReferences>
  <definedNames>
    <definedName name="_xlnm._FilterDatabase" localSheetId="0" hidden="1">'Data Karyawan'!$A$1:$L$38</definedName>
    <definedName name="_xlnm._FilterDatabase" localSheetId="1" hidden="1">'Summary PPh 21'!$A$4:$AM$113</definedName>
    <definedName name="ACEH">#REF!</definedName>
    <definedName name="PROVINSI">#REF!</definedName>
    <definedName name="RIAU">#REF!</definedName>
    <definedName name="SUMATERA_BARAT">#REF!</definedName>
    <definedName name="SUMATERA_UTAR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" i="29" l="1"/>
  <c r="N36" i="48"/>
  <c r="O33" i="48"/>
  <c r="Q33" i="48"/>
  <c r="P33" i="48"/>
  <c r="C36" i="48"/>
  <c r="AI2" i="29"/>
  <c r="L19" i="139"/>
  <c r="L19" i="117"/>
  <c r="AE2" i="29"/>
  <c r="K19" i="117"/>
  <c r="O33" i="65"/>
  <c r="O36" i="50"/>
  <c r="Q33" i="50"/>
  <c r="P33" i="50"/>
  <c r="O33" i="50"/>
  <c r="N36" i="51"/>
  <c r="O36" i="51" s="1"/>
  <c r="O33" i="51"/>
  <c r="Q33" i="51"/>
  <c r="P33" i="51"/>
  <c r="N36" i="55"/>
  <c r="P33" i="55"/>
  <c r="O33" i="55"/>
  <c r="O23" i="55"/>
  <c r="O16" i="55"/>
  <c r="O36" i="56"/>
  <c r="Q33" i="56"/>
  <c r="N36" i="56"/>
  <c r="O16" i="56"/>
  <c r="O19" i="56" s="1"/>
  <c r="O23" i="54"/>
  <c r="O23" i="83"/>
  <c r="O20" i="83"/>
  <c r="O23" i="73"/>
  <c r="O20" i="73"/>
  <c r="O23" i="151"/>
  <c r="O23" i="121"/>
  <c r="O23" i="150"/>
  <c r="O23" i="149"/>
  <c r="O23" i="145"/>
  <c r="Q33" i="146"/>
  <c r="P33" i="146"/>
  <c r="O23" i="146"/>
  <c r="Q33" i="144"/>
  <c r="P33" i="144"/>
  <c r="O23" i="144"/>
  <c r="O16" i="144"/>
  <c r="O20" i="144"/>
  <c r="Q33" i="148"/>
  <c r="P33" i="148"/>
  <c r="O23" i="148"/>
  <c r="O19" i="148"/>
  <c r="Q33" i="147"/>
  <c r="P33" i="147"/>
  <c r="O23" i="147"/>
  <c r="Q33" i="142"/>
  <c r="P33" i="142"/>
  <c r="O23" i="142"/>
  <c r="O20" i="142"/>
  <c r="O16" i="142"/>
  <c r="Q33" i="141"/>
  <c r="P33" i="141"/>
  <c r="O23" i="141"/>
  <c r="O20" i="141"/>
  <c r="O16" i="141"/>
  <c r="Q17" i="140"/>
  <c r="Q16" i="140"/>
  <c r="Q15" i="140"/>
  <c r="Q14" i="140"/>
  <c r="Q13" i="140"/>
  <c r="Q17" i="139"/>
  <c r="Q16" i="139"/>
  <c r="Q15" i="139"/>
  <c r="Q14" i="139"/>
  <c r="Q14" i="130"/>
  <c r="Q16" i="130"/>
  <c r="Q15" i="130"/>
  <c r="Q13" i="132"/>
  <c r="Q13" i="134"/>
  <c r="Q13" i="135"/>
  <c r="Q13" i="139"/>
  <c r="O23" i="140"/>
  <c r="O23" i="137"/>
  <c r="O23" i="135"/>
  <c r="O23" i="134"/>
  <c r="O23" i="132"/>
  <c r="O23" i="130"/>
  <c r="O20" i="130"/>
  <c r="O23" i="129"/>
  <c r="O20" i="129"/>
  <c r="Q33" i="128"/>
  <c r="P33" i="128"/>
  <c r="O23" i="128"/>
  <c r="O20" i="128"/>
  <c r="O16" i="128"/>
  <c r="O23" i="127"/>
  <c r="O20" i="127"/>
  <c r="O23" i="125"/>
  <c r="Q33" i="124"/>
  <c r="P33" i="124"/>
  <c r="O23" i="124"/>
  <c r="O21" i="124"/>
  <c r="O16" i="124"/>
  <c r="O20" i="124"/>
  <c r="O23" i="122"/>
  <c r="Q33" i="114"/>
  <c r="P33" i="114"/>
  <c r="O23" i="114"/>
  <c r="Q33" i="116"/>
  <c r="P33" i="116"/>
  <c r="O23" i="116"/>
  <c r="Q33" i="90"/>
  <c r="P33" i="90"/>
  <c r="O23" i="90"/>
  <c r="O20" i="90"/>
  <c r="O23" i="105"/>
  <c r="Q33" i="106"/>
  <c r="P33" i="106"/>
  <c r="O23" i="106"/>
  <c r="O20" i="106"/>
  <c r="O16" i="106"/>
  <c r="Q33" i="57"/>
  <c r="P33" i="57"/>
  <c r="O23" i="57"/>
  <c r="O20" i="57"/>
  <c r="O23" i="69"/>
  <c r="O20" i="69"/>
  <c r="O16" i="69"/>
  <c r="Q33" i="76"/>
  <c r="P33" i="76"/>
  <c r="O23" i="76"/>
  <c r="O20" i="76"/>
  <c r="O16" i="76"/>
  <c r="P33" i="89"/>
  <c r="O23" i="89"/>
  <c r="N19" i="89"/>
  <c r="M19" i="89"/>
  <c r="L19" i="89"/>
  <c r="K19" i="89"/>
  <c r="J19" i="89"/>
  <c r="I19" i="89"/>
  <c r="H19" i="89"/>
  <c r="G19" i="89"/>
  <c r="F19" i="89"/>
  <c r="E19" i="89"/>
  <c r="D19" i="89"/>
  <c r="C19" i="89"/>
  <c r="O23" i="97"/>
  <c r="Q33" i="98"/>
  <c r="P33" i="98"/>
  <c r="O23" i="98"/>
  <c r="O23" i="62"/>
  <c r="O23" i="68"/>
  <c r="O23" i="103"/>
  <c r="O20" i="98"/>
  <c r="O16" i="98"/>
  <c r="O20" i="62"/>
  <c r="P33" i="65"/>
  <c r="O20" i="68"/>
  <c r="Q33" i="65"/>
  <c r="O23" i="65"/>
  <c r="O20" i="65"/>
  <c r="Q33" i="52"/>
  <c r="P33" i="52"/>
  <c r="O23" i="52"/>
  <c r="O16" i="52"/>
  <c r="O20" i="52"/>
  <c r="O23" i="50"/>
  <c r="O20" i="50"/>
  <c r="O23" i="79"/>
  <c r="O20" i="79"/>
  <c r="Q33" i="70"/>
  <c r="P33" i="70"/>
  <c r="O23" i="70"/>
  <c r="O20" i="70"/>
  <c r="O23" i="51"/>
  <c r="O23" i="87"/>
  <c r="O20" i="51"/>
  <c r="O16" i="51"/>
  <c r="O20" i="87"/>
  <c r="Q33" i="138"/>
  <c r="P33" i="138"/>
  <c r="O23" i="138"/>
  <c r="O20" i="138"/>
  <c r="O20" i="58"/>
  <c r="Q16" i="58"/>
  <c r="O16" i="58"/>
  <c r="Q33" i="72"/>
  <c r="P33" i="72"/>
  <c r="O23" i="72"/>
  <c r="O20" i="72"/>
  <c r="O16" i="72"/>
  <c r="Q16" i="47"/>
  <c r="Q33" i="71"/>
  <c r="P33" i="71"/>
  <c r="O20" i="71"/>
  <c r="O16" i="71"/>
  <c r="Q33" i="53"/>
  <c r="P33" i="53"/>
  <c r="O20" i="53"/>
  <c r="O23" i="64"/>
  <c r="O20" i="64"/>
  <c r="O23" i="49"/>
  <c r="O20" i="49"/>
  <c r="O23" i="96"/>
  <c r="O20" i="96"/>
  <c r="O20" i="55"/>
  <c r="Q16" i="55"/>
  <c r="O20" i="56"/>
  <c r="Q16" i="56"/>
  <c r="Q33" i="61"/>
  <c r="P33" i="61"/>
  <c r="O23" i="61"/>
  <c r="O23" i="81"/>
  <c r="O20" i="61"/>
  <c r="O16" i="61"/>
  <c r="O20" i="81"/>
  <c r="Q33" i="66"/>
  <c r="P33" i="66"/>
  <c r="O23" i="66"/>
  <c r="O23" i="67"/>
  <c r="O23" i="102"/>
  <c r="O20" i="66"/>
  <c r="O16" i="66"/>
  <c r="O20" i="67"/>
  <c r="O23" i="48"/>
  <c r="O16" i="48"/>
  <c r="O13" i="48"/>
  <c r="O20" i="48"/>
  <c r="Q16" i="48"/>
  <c r="Q16" i="95"/>
  <c r="O20" i="95"/>
  <c r="O16" i="95"/>
  <c r="O13" i="95"/>
  <c r="O19" i="95" s="1"/>
  <c r="O21" i="95" s="1"/>
  <c r="Q33" i="60"/>
  <c r="P33" i="60"/>
  <c r="P39" i="84"/>
  <c r="C36" i="84"/>
  <c r="Q33" i="84"/>
  <c r="P33" i="84"/>
  <c r="O36" i="85"/>
  <c r="P36" i="85"/>
  <c r="O16" i="85"/>
  <c r="Q33" i="85"/>
  <c r="O36" i="47"/>
  <c r="N36" i="47"/>
  <c r="O32" i="47"/>
  <c r="O31" i="47"/>
  <c r="O28" i="47"/>
  <c r="O19" i="47"/>
  <c r="O21" i="47" s="1"/>
  <c r="C36" i="47"/>
  <c r="O36" i="3"/>
  <c r="N36" i="3"/>
  <c r="P37" i="3"/>
  <c r="O36" i="86"/>
  <c r="E36" i="86"/>
  <c r="O16" i="86"/>
  <c r="Q33" i="86"/>
  <c r="Q16" i="3"/>
  <c r="P16" i="3" s="1"/>
  <c r="O16" i="3"/>
  <c r="E36" i="3"/>
  <c r="D36" i="3"/>
  <c r="C36" i="3"/>
  <c r="D21" i="3"/>
  <c r="C21" i="3"/>
  <c r="D36" i="48" l="1"/>
  <c r="O23" i="95"/>
  <c r="D36" i="84"/>
  <c r="O23" i="47"/>
  <c r="D36" i="47"/>
  <c r="E36" i="48" l="1"/>
  <c r="E36" i="84"/>
  <c r="E36" i="47"/>
  <c r="F36" i="48" l="1"/>
  <c r="F36" i="84"/>
  <c r="F36" i="47"/>
  <c r="G36" i="48" l="1"/>
  <c r="G36" i="84"/>
  <c r="G36" i="47"/>
  <c r="H36" i="47"/>
  <c r="I36" i="47"/>
  <c r="H36" i="48" l="1"/>
  <c r="H36" i="84"/>
  <c r="I36" i="84" s="1"/>
  <c r="J36" i="47"/>
  <c r="I36" i="48" l="1"/>
  <c r="J36" i="48" s="1"/>
  <c r="K36" i="48" s="1"/>
  <c r="L36" i="48" s="1"/>
  <c r="M36" i="48" s="1"/>
  <c r="O36" i="48" s="1"/>
  <c r="J36" i="84"/>
  <c r="K36" i="47"/>
  <c r="M36" i="47" s="1"/>
  <c r="L36" i="47"/>
  <c r="K36" i="84" l="1"/>
  <c r="L36" i="84" s="1"/>
  <c r="M36" i="84" s="1"/>
  <c r="O15" i="3" l="1"/>
  <c r="AL103" i="29" l="1"/>
  <c r="AK103" i="29"/>
  <c r="AK91" i="29"/>
  <c r="AL102" i="29"/>
  <c r="AL101" i="29"/>
  <c r="AL99" i="29"/>
  <c r="AL96" i="29"/>
  <c r="AL95" i="29"/>
  <c r="AL94" i="29"/>
  <c r="AL93" i="29"/>
  <c r="AL91" i="29"/>
  <c r="AK102" i="29"/>
  <c r="AK101" i="29"/>
  <c r="AK99" i="29"/>
  <c r="AK96" i="29"/>
  <c r="AK95" i="29"/>
  <c r="AK94" i="29"/>
  <c r="AK93" i="29"/>
  <c r="AK92" i="29"/>
  <c r="AI91" i="29"/>
  <c r="AJ102" i="29"/>
  <c r="AJ101" i="29"/>
  <c r="AJ99" i="29"/>
  <c r="AJ96" i="29"/>
  <c r="AJ95" i="29"/>
  <c r="AJ94" i="29"/>
  <c r="AJ93" i="29"/>
  <c r="AJ91" i="29"/>
  <c r="AI102" i="29"/>
  <c r="AI101" i="29"/>
  <c r="AI99" i="29"/>
  <c r="AI96" i="29"/>
  <c r="AI95" i="29"/>
  <c r="AI94" i="29"/>
  <c r="AI93" i="29"/>
  <c r="AI92" i="29"/>
  <c r="AG91" i="29"/>
  <c r="AH102" i="29"/>
  <c r="AH101" i="29"/>
  <c r="AH99" i="29"/>
  <c r="AH96" i="29"/>
  <c r="AH95" i="29"/>
  <c r="AH94" i="29"/>
  <c r="AH93" i="29"/>
  <c r="AH91" i="29"/>
  <c r="AG102" i="29"/>
  <c r="AG101" i="29"/>
  <c r="AG99" i="29"/>
  <c r="AG96" i="29"/>
  <c r="AG95" i="29"/>
  <c r="AG94" i="29"/>
  <c r="AG93" i="29"/>
  <c r="AE101" i="29"/>
  <c r="AF102" i="29"/>
  <c r="AF101" i="29"/>
  <c r="AE102" i="29"/>
  <c r="AF99" i="29"/>
  <c r="AE99" i="29"/>
  <c r="AE91" i="29"/>
  <c r="AF96" i="29"/>
  <c r="AF95" i="29"/>
  <c r="AF94" i="29"/>
  <c r="AF93" i="29"/>
  <c r="AF92" i="29"/>
  <c r="AF91" i="29"/>
  <c r="AE96" i="29"/>
  <c r="AE95" i="29"/>
  <c r="AE94" i="29"/>
  <c r="AE93" i="29"/>
  <c r="AE92" i="29"/>
  <c r="M9" i="29"/>
  <c r="AG8" i="29"/>
  <c r="AH7" i="29"/>
  <c r="AG7" i="29"/>
  <c r="AH6" i="29"/>
  <c r="AG6" i="29"/>
  <c r="AH5" i="29"/>
  <c r="AG5" i="29"/>
  <c r="O25" i="89"/>
  <c r="O21" i="89"/>
  <c r="N21" i="89"/>
  <c r="M21" i="89"/>
  <c r="L21" i="89"/>
  <c r="L23" i="89" s="1"/>
  <c r="L26" i="89" s="1"/>
  <c r="K21" i="89"/>
  <c r="J21" i="89"/>
  <c r="J23" i="89" s="1"/>
  <c r="J26" i="89" s="1"/>
  <c r="I21" i="89"/>
  <c r="I23" i="89" s="1"/>
  <c r="I26" i="89" s="1"/>
  <c r="H21" i="89"/>
  <c r="H23" i="89" s="1"/>
  <c r="H26" i="89" s="1"/>
  <c r="G21" i="89"/>
  <c r="G23" i="89" s="1"/>
  <c r="G26" i="89" s="1"/>
  <c r="F21" i="89"/>
  <c r="E21" i="89"/>
  <c r="D21" i="89"/>
  <c r="D23" i="89" s="1"/>
  <c r="D26" i="89" s="1"/>
  <c r="C21" i="89"/>
  <c r="O19" i="89"/>
  <c r="O17" i="89"/>
  <c r="O15" i="89"/>
  <c r="O13" i="89"/>
  <c r="O9" i="89"/>
  <c r="N9" i="89"/>
  <c r="M9" i="89"/>
  <c r="L9" i="89"/>
  <c r="K9" i="89"/>
  <c r="J9" i="89"/>
  <c r="I9" i="89"/>
  <c r="H9" i="89"/>
  <c r="G9" i="89"/>
  <c r="F9" i="89"/>
  <c r="E9" i="89"/>
  <c r="D9" i="89"/>
  <c r="C9" i="89"/>
  <c r="O25" i="116"/>
  <c r="O21" i="116"/>
  <c r="N21" i="116"/>
  <c r="N23" i="116" s="1"/>
  <c r="N26" i="116" s="1"/>
  <c r="M21" i="116"/>
  <c r="L21" i="116"/>
  <c r="L23" i="116" s="1"/>
  <c r="L26" i="116" s="1"/>
  <c r="K21" i="116"/>
  <c r="K23" i="116" s="1"/>
  <c r="K26" i="116" s="1"/>
  <c r="J21" i="116"/>
  <c r="J23" i="116" s="1"/>
  <c r="J26" i="116" s="1"/>
  <c r="I21" i="116"/>
  <c r="H21" i="116"/>
  <c r="H23" i="116" s="1"/>
  <c r="H26" i="116" s="1"/>
  <c r="G21" i="116"/>
  <c r="G23" i="116" s="1"/>
  <c r="G26" i="116" s="1"/>
  <c r="F21" i="116"/>
  <c r="F23" i="116" s="1"/>
  <c r="F26" i="116" s="1"/>
  <c r="E21" i="116"/>
  <c r="D21" i="116"/>
  <c r="D23" i="116" s="1"/>
  <c r="D26" i="116" s="1"/>
  <c r="C21" i="116"/>
  <c r="C23" i="116" s="1"/>
  <c r="N1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O25" i="114"/>
  <c r="M23" i="114"/>
  <c r="M26" i="114" s="1"/>
  <c r="L23" i="114"/>
  <c r="L26" i="114" s="1"/>
  <c r="I23" i="114"/>
  <c r="I26" i="114" s="1"/>
  <c r="H23" i="114"/>
  <c r="H26" i="114" s="1"/>
  <c r="E23" i="114"/>
  <c r="E26" i="114" s="1"/>
  <c r="D23" i="114"/>
  <c r="D26" i="114" s="1"/>
  <c r="O21" i="114"/>
  <c r="N21" i="114"/>
  <c r="M21" i="114"/>
  <c r="M28" i="114" s="1"/>
  <c r="L21" i="114"/>
  <c r="L28" i="114" s="1"/>
  <c r="K21" i="114"/>
  <c r="K23" i="114" s="1"/>
  <c r="K26" i="114" s="1"/>
  <c r="J21" i="114"/>
  <c r="I21" i="114"/>
  <c r="H21" i="114"/>
  <c r="H28" i="114" s="1"/>
  <c r="G21" i="114"/>
  <c r="G23" i="114" s="1"/>
  <c r="G26" i="114" s="1"/>
  <c r="F21" i="114"/>
  <c r="F23" i="114" s="1"/>
  <c r="F26" i="114" s="1"/>
  <c r="E21" i="114"/>
  <c r="E28" i="114" s="1"/>
  <c r="D21" i="114"/>
  <c r="D28" i="114" s="1"/>
  <c r="C21" i="114"/>
  <c r="C23" i="114" s="1"/>
  <c r="N19" i="114"/>
  <c r="O9" i="114"/>
  <c r="N9" i="114"/>
  <c r="M9" i="114"/>
  <c r="L9" i="114"/>
  <c r="K9" i="114"/>
  <c r="J9" i="114"/>
  <c r="I9" i="114"/>
  <c r="H9" i="114"/>
  <c r="G9" i="114"/>
  <c r="F9" i="114"/>
  <c r="E9" i="114"/>
  <c r="D9" i="114"/>
  <c r="C9" i="114"/>
  <c r="O25" i="151"/>
  <c r="I23" i="151"/>
  <c r="I26" i="151" s="1"/>
  <c r="I28" i="151" s="1"/>
  <c r="H23" i="151"/>
  <c r="H26" i="151" s="1"/>
  <c r="E23" i="151"/>
  <c r="E26" i="151" s="1"/>
  <c r="E28" i="151" s="1"/>
  <c r="D23" i="151"/>
  <c r="D26" i="151" s="1"/>
  <c r="J21" i="151"/>
  <c r="J23" i="151" s="1"/>
  <c r="J26" i="151" s="1"/>
  <c r="J28" i="151" s="1"/>
  <c r="I21" i="151"/>
  <c r="H21" i="151"/>
  <c r="G21" i="151"/>
  <c r="G23" i="151" s="1"/>
  <c r="G26" i="151" s="1"/>
  <c r="F21" i="151"/>
  <c r="F23" i="151" s="1"/>
  <c r="F26" i="151" s="1"/>
  <c r="F28" i="151" s="1"/>
  <c r="E21" i="151"/>
  <c r="D21" i="151"/>
  <c r="D28" i="151" s="1"/>
  <c r="C21" i="151"/>
  <c r="C23" i="151" s="1"/>
  <c r="N19" i="151"/>
  <c r="N21" i="151" s="1"/>
  <c r="M19" i="151"/>
  <c r="M21" i="151" s="1"/>
  <c r="L19" i="151"/>
  <c r="L21" i="151" s="1"/>
  <c r="K19" i="151"/>
  <c r="K21" i="151" s="1"/>
  <c r="K23" i="151" s="1"/>
  <c r="K26" i="151" s="1"/>
  <c r="Q18" i="151"/>
  <c r="P18" i="151" s="1"/>
  <c r="Q17" i="151"/>
  <c r="P17" i="151"/>
  <c r="O17" i="151"/>
  <c r="Q16" i="151"/>
  <c r="P16" i="151"/>
  <c r="Q15" i="151"/>
  <c r="P15" i="151"/>
  <c r="O15" i="151"/>
  <c r="Q14" i="151"/>
  <c r="P14" i="151"/>
  <c r="Q13" i="151"/>
  <c r="Q19" i="151" s="1"/>
  <c r="Q21" i="151" s="1"/>
  <c r="O13" i="151"/>
  <c r="O9" i="151"/>
  <c r="N9" i="151"/>
  <c r="M9" i="151"/>
  <c r="L9" i="151"/>
  <c r="K9" i="151"/>
  <c r="J9" i="151"/>
  <c r="I9" i="151"/>
  <c r="H9" i="151"/>
  <c r="G9" i="151"/>
  <c r="F9" i="151"/>
  <c r="E9" i="151"/>
  <c r="D9" i="151"/>
  <c r="C9" i="151"/>
  <c r="N19" i="121"/>
  <c r="M19" i="121"/>
  <c r="M21" i="121" s="1"/>
  <c r="M23" i="121" s="1"/>
  <c r="M26" i="121" s="1"/>
  <c r="L19" i="121"/>
  <c r="L21" i="121" s="1"/>
  <c r="L23" i="121" s="1"/>
  <c r="L26" i="121" s="1"/>
  <c r="K19" i="121"/>
  <c r="K21" i="121" s="1"/>
  <c r="K23" i="121" s="1"/>
  <c r="K26" i="121" s="1"/>
  <c r="O25" i="121"/>
  <c r="I23" i="121"/>
  <c r="I26" i="121" s="1"/>
  <c r="E23" i="121"/>
  <c r="E26" i="121" s="1"/>
  <c r="N21" i="121"/>
  <c r="J21" i="121"/>
  <c r="I21" i="121"/>
  <c r="I28" i="121" s="1"/>
  <c r="H21" i="121"/>
  <c r="H23" i="121" s="1"/>
  <c r="H26" i="121" s="1"/>
  <c r="G21" i="121"/>
  <c r="G23" i="121" s="1"/>
  <c r="G26" i="121" s="1"/>
  <c r="F21" i="121"/>
  <c r="F23" i="121" s="1"/>
  <c r="F26" i="121" s="1"/>
  <c r="E21" i="121"/>
  <c r="D21" i="121"/>
  <c r="D23" i="121" s="1"/>
  <c r="D26" i="121" s="1"/>
  <c r="C21" i="121"/>
  <c r="C23" i="121" s="1"/>
  <c r="O9" i="121"/>
  <c r="N9" i="121"/>
  <c r="M9" i="121"/>
  <c r="L9" i="121"/>
  <c r="K9" i="121"/>
  <c r="J9" i="121"/>
  <c r="I9" i="121"/>
  <c r="H9" i="121"/>
  <c r="G9" i="121"/>
  <c r="F9" i="121"/>
  <c r="E9" i="121"/>
  <c r="D9" i="121"/>
  <c r="C9" i="121"/>
  <c r="M23" i="89" l="1"/>
  <c r="M26" i="89" s="1"/>
  <c r="M28" i="89" s="1"/>
  <c r="G28" i="89"/>
  <c r="E23" i="89"/>
  <c r="E26" i="89" s="1"/>
  <c r="E28" i="89" s="1"/>
  <c r="C23" i="89"/>
  <c r="C26" i="89" s="1"/>
  <c r="C28" i="89" s="1"/>
  <c r="C30" i="89" s="1"/>
  <c r="K23" i="89"/>
  <c r="K26" i="89" s="1"/>
  <c r="K28" i="89" s="1"/>
  <c r="I28" i="89"/>
  <c r="J28" i="89"/>
  <c r="F23" i="89"/>
  <c r="F26" i="89" s="1"/>
  <c r="F28" i="89" s="1"/>
  <c r="N23" i="89"/>
  <c r="N26" i="89" s="1"/>
  <c r="N28" i="89" s="1"/>
  <c r="D28" i="89"/>
  <c r="H28" i="89"/>
  <c r="L28" i="89"/>
  <c r="E28" i="116"/>
  <c r="I28" i="116"/>
  <c r="C26" i="116"/>
  <c r="E23" i="116"/>
  <c r="E26" i="116" s="1"/>
  <c r="I23" i="116"/>
  <c r="I26" i="116" s="1"/>
  <c r="M23" i="116"/>
  <c r="M26" i="116" s="1"/>
  <c r="M28" i="116" s="1"/>
  <c r="F28" i="116"/>
  <c r="J28" i="116"/>
  <c r="N28" i="116"/>
  <c r="C28" i="116"/>
  <c r="G28" i="116"/>
  <c r="K28" i="116"/>
  <c r="D28" i="116"/>
  <c r="H28" i="116"/>
  <c r="L28" i="116"/>
  <c r="C26" i="114"/>
  <c r="I28" i="114"/>
  <c r="F28" i="114"/>
  <c r="J23" i="114"/>
  <c r="J26" i="114" s="1"/>
  <c r="J28" i="114" s="1"/>
  <c r="N23" i="114"/>
  <c r="N26" i="114" s="1"/>
  <c r="N28" i="114" s="1"/>
  <c r="C28" i="114"/>
  <c r="G28" i="114"/>
  <c r="K28" i="114"/>
  <c r="O19" i="151"/>
  <c r="O21" i="151" s="1"/>
  <c r="L28" i="151"/>
  <c r="L23" i="151"/>
  <c r="L26" i="151" s="1"/>
  <c r="Q23" i="151"/>
  <c r="Q26" i="151" s="1"/>
  <c r="Q28" i="151" s="1"/>
  <c r="Q30" i="151" s="1"/>
  <c r="C26" i="151"/>
  <c r="C28" i="151" s="1"/>
  <c r="H28" i="151"/>
  <c r="M23" i="151"/>
  <c r="M26" i="151" s="1"/>
  <c r="M28" i="151" s="1"/>
  <c r="N23" i="151"/>
  <c r="N26" i="151" s="1"/>
  <c r="N28" i="151"/>
  <c r="G28" i="151"/>
  <c r="K28" i="151"/>
  <c r="P13" i="151"/>
  <c r="P19" i="151" s="1"/>
  <c r="P21" i="151" s="1"/>
  <c r="M28" i="121"/>
  <c r="E28" i="121"/>
  <c r="C26" i="121"/>
  <c r="F28" i="121"/>
  <c r="J23" i="121"/>
  <c r="J26" i="121" s="1"/>
  <c r="J28" i="121" s="1"/>
  <c r="N23" i="121"/>
  <c r="N26" i="121" s="1"/>
  <c r="N28" i="121" s="1"/>
  <c r="C28" i="121"/>
  <c r="G28" i="121"/>
  <c r="K28" i="121"/>
  <c r="D28" i="121"/>
  <c r="H28" i="121"/>
  <c r="L28" i="121"/>
  <c r="D30" i="89" l="1"/>
  <c r="K30" i="89"/>
  <c r="N30" i="89"/>
  <c r="H30" i="89"/>
  <c r="L30" i="89"/>
  <c r="G30" i="89"/>
  <c r="J30" i="89"/>
  <c r="D31" i="89"/>
  <c r="D32" i="89" s="1"/>
  <c r="D33" i="89" s="1"/>
  <c r="D35" i="89" s="1"/>
  <c r="O26" i="89"/>
  <c r="O28" i="89" s="1"/>
  <c r="O30" i="89" s="1"/>
  <c r="I30" i="89"/>
  <c r="E30" i="89"/>
  <c r="M30" i="89"/>
  <c r="F30" i="89"/>
  <c r="C31" i="89"/>
  <c r="C32" i="89" s="1"/>
  <c r="C33" i="89" s="1"/>
  <c r="C35" i="89" s="1"/>
  <c r="C36" i="89" s="1"/>
  <c r="L30" i="116"/>
  <c r="H30" i="116"/>
  <c r="D30" i="116"/>
  <c r="K30" i="116"/>
  <c r="G30" i="116"/>
  <c r="C30" i="116"/>
  <c r="N30" i="116"/>
  <c r="J30" i="116"/>
  <c r="F30" i="116"/>
  <c r="M30" i="116"/>
  <c r="I30" i="116"/>
  <c r="E30" i="116"/>
  <c r="O26" i="116"/>
  <c r="O28" i="116" s="1"/>
  <c r="O30" i="116" s="1"/>
  <c r="L30" i="114"/>
  <c r="H30" i="114"/>
  <c r="D30" i="114"/>
  <c r="E30" i="114"/>
  <c r="K30" i="114"/>
  <c r="G30" i="114"/>
  <c r="C30" i="114"/>
  <c r="I30" i="114"/>
  <c r="N30" i="114"/>
  <c r="J30" i="114"/>
  <c r="F30" i="114"/>
  <c r="M30" i="114"/>
  <c r="O26" i="114"/>
  <c r="O28" i="114" s="1"/>
  <c r="O30" i="114" s="1"/>
  <c r="M30" i="151"/>
  <c r="I30" i="151"/>
  <c r="E30" i="151"/>
  <c r="K30" i="151"/>
  <c r="C30" i="151"/>
  <c r="N30" i="151"/>
  <c r="F30" i="151"/>
  <c r="L30" i="151"/>
  <c r="H30" i="151"/>
  <c r="D30" i="151"/>
  <c r="G30" i="151"/>
  <c r="J30" i="151"/>
  <c r="P23" i="151"/>
  <c r="P26" i="151" s="1"/>
  <c r="P28" i="151" s="1"/>
  <c r="P30" i="151" s="1"/>
  <c r="O26" i="151"/>
  <c r="O28" i="151" s="1"/>
  <c r="O30" i="151" s="1"/>
  <c r="L30" i="121"/>
  <c r="H30" i="121"/>
  <c r="D30" i="121"/>
  <c r="I30" i="121"/>
  <c r="K30" i="121"/>
  <c r="G30" i="121"/>
  <c r="C30" i="121"/>
  <c r="M30" i="121"/>
  <c r="N30" i="121"/>
  <c r="J30" i="121"/>
  <c r="F30" i="121"/>
  <c r="E30" i="121"/>
  <c r="O26" i="121"/>
  <c r="D36" i="89" l="1"/>
  <c r="M31" i="89"/>
  <c r="M32" i="89" s="1"/>
  <c r="M33" i="89" s="1"/>
  <c r="M35" i="89" s="1"/>
  <c r="L31" i="89"/>
  <c r="L32" i="89"/>
  <c r="L33" i="89" s="1"/>
  <c r="L35" i="89" s="1"/>
  <c r="E31" i="89"/>
  <c r="E32" i="89" s="1"/>
  <c r="E33" i="89" s="1"/>
  <c r="E35" i="89" s="1"/>
  <c r="E36" i="89" s="1"/>
  <c r="H31" i="89"/>
  <c r="H32" i="89" s="1"/>
  <c r="H33" i="89" s="1"/>
  <c r="H35" i="89" s="1"/>
  <c r="I31" i="89"/>
  <c r="I32" i="89" s="1"/>
  <c r="I33" i="89" s="1"/>
  <c r="I35" i="89" s="1"/>
  <c r="J31" i="89"/>
  <c r="J32" i="89" s="1"/>
  <c r="J33" i="89" s="1"/>
  <c r="J35" i="89" s="1"/>
  <c r="N31" i="89"/>
  <c r="N32" i="89" s="1"/>
  <c r="N33" i="89" s="1"/>
  <c r="N35" i="89" s="1"/>
  <c r="F31" i="89"/>
  <c r="F32" i="89" s="1"/>
  <c r="F33" i="89" s="1"/>
  <c r="F35" i="89" s="1"/>
  <c r="O31" i="89"/>
  <c r="O32" i="89" s="1"/>
  <c r="O33" i="89" s="1"/>
  <c r="O35" i="89" s="1"/>
  <c r="G31" i="89"/>
  <c r="G32" i="89" s="1"/>
  <c r="G33" i="89" s="1"/>
  <c r="G35" i="89" s="1"/>
  <c r="K31" i="89"/>
  <c r="K32" i="89" s="1"/>
  <c r="K33" i="89" s="1"/>
  <c r="K35" i="89" s="1"/>
  <c r="E31" i="116"/>
  <c r="E32" i="116" s="1"/>
  <c r="E33" i="116" s="1"/>
  <c r="E35" i="116" s="1"/>
  <c r="J31" i="116"/>
  <c r="J32" i="116" s="1"/>
  <c r="J33" i="116" s="1"/>
  <c r="J35" i="116" s="1"/>
  <c r="K31" i="116"/>
  <c r="K32" i="116" s="1"/>
  <c r="K33" i="116" s="1"/>
  <c r="K35" i="116" s="1"/>
  <c r="I31" i="116"/>
  <c r="I32" i="116" s="1"/>
  <c r="I33" i="116" s="1"/>
  <c r="I35" i="116" s="1"/>
  <c r="N31" i="116"/>
  <c r="N32" i="116" s="1"/>
  <c r="N33" i="116" s="1"/>
  <c r="N35" i="116" s="1"/>
  <c r="D31" i="116"/>
  <c r="D32" i="116" s="1"/>
  <c r="D33" i="116" s="1"/>
  <c r="D35" i="116" s="1"/>
  <c r="D36" i="116" s="1"/>
  <c r="M31" i="116"/>
  <c r="M32" i="116" s="1"/>
  <c r="M33" i="116" s="1"/>
  <c r="M35" i="116" s="1"/>
  <c r="C31" i="116"/>
  <c r="C32" i="116"/>
  <c r="C33" i="116" s="1"/>
  <c r="C35" i="116" s="1"/>
  <c r="C36" i="116" s="1"/>
  <c r="H31" i="116"/>
  <c r="H32" i="116" s="1"/>
  <c r="H33" i="116" s="1"/>
  <c r="H35" i="116" s="1"/>
  <c r="O31" i="116"/>
  <c r="O32" i="116" s="1"/>
  <c r="O33" i="116" s="1"/>
  <c r="O35" i="116" s="1"/>
  <c r="F31" i="116"/>
  <c r="F32" i="116" s="1"/>
  <c r="F33" i="116" s="1"/>
  <c r="F35" i="116" s="1"/>
  <c r="G31" i="116"/>
  <c r="G32" i="116" s="1"/>
  <c r="G33" i="116" s="1"/>
  <c r="G35" i="116" s="1"/>
  <c r="L31" i="116"/>
  <c r="L32" i="116" s="1"/>
  <c r="L33" i="116" s="1"/>
  <c r="L35" i="116" s="1"/>
  <c r="E32" i="114"/>
  <c r="E33" i="114" s="1"/>
  <c r="E35" i="114" s="1"/>
  <c r="E31" i="114"/>
  <c r="C31" i="114"/>
  <c r="C32" i="114"/>
  <c r="C33" i="114" s="1"/>
  <c r="C35" i="114" s="1"/>
  <c r="C36" i="114" s="1"/>
  <c r="D31" i="114"/>
  <c r="D32" i="114" s="1"/>
  <c r="D33" i="114" s="1"/>
  <c r="D35" i="114" s="1"/>
  <c r="D36" i="114" s="1"/>
  <c r="J31" i="114"/>
  <c r="J32" i="114" s="1"/>
  <c r="J33" i="114" s="1"/>
  <c r="J35" i="114" s="1"/>
  <c r="G31" i="114"/>
  <c r="G32" i="114" s="1"/>
  <c r="G33" i="114" s="1"/>
  <c r="G35" i="114" s="1"/>
  <c r="H31" i="114"/>
  <c r="H32" i="114"/>
  <c r="H33" i="114" s="1"/>
  <c r="H35" i="114" s="1"/>
  <c r="M32" i="114"/>
  <c r="M33" i="114" s="1"/>
  <c r="M35" i="114" s="1"/>
  <c r="M31" i="114"/>
  <c r="I31" i="114"/>
  <c r="I32" i="114" s="1"/>
  <c r="I33" i="114" s="1"/>
  <c r="I35" i="114" s="1"/>
  <c r="F32" i="114"/>
  <c r="F33" i="114" s="1"/>
  <c r="F35" i="114" s="1"/>
  <c r="F31" i="114"/>
  <c r="O31" i="114"/>
  <c r="O32" i="114" s="1"/>
  <c r="O33" i="114" s="1"/>
  <c r="O35" i="114" s="1"/>
  <c r="N31" i="114"/>
  <c r="N32" i="114" s="1"/>
  <c r="N33" i="114" s="1"/>
  <c r="N35" i="114" s="1"/>
  <c r="K31" i="114"/>
  <c r="K32" i="114"/>
  <c r="K33" i="114" s="1"/>
  <c r="K35" i="114" s="1"/>
  <c r="L31" i="114"/>
  <c r="L32" i="114" s="1"/>
  <c r="L33" i="114" s="1"/>
  <c r="L35" i="114" s="1"/>
  <c r="J31" i="151"/>
  <c r="J32" i="151" s="1"/>
  <c r="J33" i="151" s="1"/>
  <c r="J35" i="151" s="1"/>
  <c r="K31" i="151"/>
  <c r="K32" i="151" s="1"/>
  <c r="K33" i="151" s="1"/>
  <c r="K35" i="151" s="1"/>
  <c r="G31" i="151"/>
  <c r="G32" i="151" s="1"/>
  <c r="G33" i="151" s="1"/>
  <c r="G35" i="151" s="1"/>
  <c r="F31" i="151"/>
  <c r="F32" i="151"/>
  <c r="F33" i="151" s="1"/>
  <c r="F35" i="151" s="1"/>
  <c r="E31" i="151"/>
  <c r="E32" i="151" s="1"/>
  <c r="E33" i="151" s="1"/>
  <c r="E35" i="151" s="1"/>
  <c r="L31" i="151"/>
  <c r="L32" i="151" s="1"/>
  <c r="L33" i="151" s="1"/>
  <c r="L35" i="151" s="1"/>
  <c r="D31" i="151"/>
  <c r="D32" i="151" s="1"/>
  <c r="D33" i="151" s="1"/>
  <c r="D35" i="151" s="1"/>
  <c r="N31" i="151"/>
  <c r="N32" i="151" s="1"/>
  <c r="N33" i="151" s="1"/>
  <c r="N35" i="151" s="1"/>
  <c r="I32" i="151"/>
  <c r="I33" i="151" s="1"/>
  <c r="I35" i="151" s="1"/>
  <c r="I31" i="151"/>
  <c r="O31" i="151"/>
  <c r="P31" i="151" s="1"/>
  <c r="Q31" i="151" s="1"/>
  <c r="Q32" i="151" s="1"/>
  <c r="Q33" i="151" s="1"/>
  <c r="Q35" i="151" s="1"/>
  <c r="Q36" i="151" s="1"/>
  <c r="Q41" i="151" s="1"/>
  <c r="H32" i="151"/>
  <c r="H33" i="151" s="1"/>
  <c r="H35" i="151" s="1"/>
  <c r="H31" i="151"/>
  <c r="C31" i="151"/>
  <c r="C32" i="151" s="1"/>
  <c r="C33" i="151" s="1"/>
  <c r="C35" i="151" s="1"/>
  <c r="C36" i="151" s="1"/>
  <c r="M31" i="151"/>
  <c r="M32" i="151" s="1"/>
  <c r="M33" i="151" s="1"/>
  <c r="M35" i="151" s="1"/>
  <c r="J31" i="121"/>
  <c r="J32" i="121" s="1"/>
  <c r="J33" i="121" s="1"/>
  <c r="J35" i="121" s="1"/>
  <c r="G31" i="121"/>
  <c r="G32" i="121"/>
  <c r="G33" i="121" s="1"/>
  <c r="G35" i="121" s="1"/>
  <c r="H31" i="121"/>
  <c r="H32" i="121"/>
  <c r="H33" i="121" s="1"/>
  <c r="H35" i="121" s="1"/>
  <c r="N31" i="121"/>
  <c r="N32" i="121" s="1"/>
  <c r="N33" i="121" s="1"/>
  <c r="N35" i="121" s="1"/>
  <c r="K31" i="121"/>
  <c r="K32" i="121" s="1"/>
  <c r="K33" i="121" s="1"/>
  <c r="K35" i="121" s="1"/>
  <c r="L31" i="121"/>
  <c r="L32" i="121" s="1"/>
  <c r="L33" i="121" s="1"/>
  <c r="L35" i="121" s="1"/>
  <c r="E31" i="121"/>
  <c r="E32" i="121" s="1"/>
  <c r="E33" i="121" s="1"/>
  <c r="E35" i="121" s="1"/>
  <c r="E36" i="121" s="1"/>
  <c r="M31" i="121"/>
  <c r="M32" i="121" s="1"/>
  <c r="M33" i="121" s="1"/>
  <c r="M35" i="121" s="1"/>
  <c r="I31" i="121"/>
  <c r="I32" i="121" s="1"/>
  <c r="I33" i="121" s="1"/>
  <c r="I35" i="121" s="1"/>
  <c r="F31" i="121"/>
  <c r="F32" i="121" s="1"/>
  <c r="F33" i="121" s="1"/>
  <c r="F35" i="121" s="1"/>
  <c r="C31" i="121"/>
  <c r="C32" i="121"/>
  <c r="C33" i="121" s="1"/>
  <c r="C35" i="121" s="1"/>
  <c r="C36" i="121" s="1"/>
  <c r="D31" i="121"/>
  <c r="D32" i="121" s="1"/>
  <c r="D33" i="121" s="1"/>
  <c r="D35" i="121" s="1"/>
  <c r="D36" i="121" s="1"/>
  <c r="F36" i="89" l="1"/>
  <c r="E36" i="116"/>
  <c r="F36" i="116" s="1"/>
  <c r="E36" i="114"/>
  <c r="C41" i="151"/>
  <c r="D36" i="151"/>
  <c r="D41" i="151" s="1"/>
  <c r="O32" i="151"/>
  <c r="O33" i="151" s="1"/>
  <c r="O35" i="151" s="1"/>
  <c r="P32" i="151"/>
  <c r="P33" i="151" s="1"/>
  <c r="P35" i="151" s="1"/>
  <c r="F36" i="121"/>
  <c r="G36" i="121"/>
  <c r="G36" i="89" l="1"/>
  <c r="H36" i="89" s="1"/>
  <c r="G36" i="116"/>
  <c r="F36" i="114"/>
  <c r="P37" i="151"/>
  <c r="P39" i="151" s="1"/>
  <c r="P36" i="151"/>
  <c r="P41" i="151" s="1"/>
  <c r="E36" i="151"/>
  <c r="I36" i="121"/>
  <c r="H36" i="121"/>
  <c r="K36" i="121" s="1"/>
  <c r="J36" i="121"/>
  <c r="I36" i="89" l="1"/>
  <c r="J36" i="89" s="1"/>
  <c r="H36" i="116"/>
  <c r="H36" i="114"/>
  <c r="G36" i="114"/>
  <c r="E41" i="151"/>
  <c r="F36" i="151"/>
  <c r="L36" i="121"/>
  <c r="M36" i="121" s="1"/>
  <c r="N36" i="121" s="1"/>
  <c r="K36" i="89" l="1"/>
  <c r="L36" i="89" s="1"/>
  <c r="M36" i="89" s="1"/>
  <c r="N36" i="89" s="1"/>
  <c r="O36" i="89" s="1"/>
  <c r="I36" i="116"/>
  <c r="J36" i="116"/>
  <c r="I36" i="114"/>
  <c r="F41" i="151"/>
  <c r="H36" i="151"/>
  <c r="H41" i="151" s="1"/>
  <c r="G36" i="151"/>
  <c r="I36" i="151"/>
  <c r="I41" i="151" s="1"/>
  <c r="J36" i="151"/>
  <c r="J41" i="151" s="1"/>
  <c r="O36" i="121"/>
  <c r="K36" i="116" l="1"/>
  <c r="L36" i="116" s="1"/>
  <c r="M36" i="116" s="1"/>
  <c r="M36" i="114"/>
  <c r="N36" i="114" s="1"/>
  <c r="O36" i="114" s="1"/>
  <c r="J36" i="114"/>
  <c r="K36" i="114" s="1"/>
  <c r="L36" i="114" s="1"/>
  <c r="K36" i="151"/>
  <c r="K41" i="151" s="1"/>
  <c r="G41" i="151"/>
  <c r="N36" i="116" l="1"/>
  <c r="O36" i="116" s="1"/>
  <c r="L36" i="151"/>
  <c r="L41" i="151" s="1"/>
  <c r="M36" i="151" l="1"/>
  <c r="N36" i="151" s="1"/>
  <c r="M41" i="151" l="1"/>
  <c r="N41" i="151"/>
  <c r="O36" i="151"/>
  <c r="O41" i="151" s="1"/>
  <c r="N19" i="132" l="1"/>
  <c r="M19" i="132"/>
  <c r="L19" i="132"/>
  <c r="K19" i="132"/>
  <c r="N19" i="128"/>
  <c r="M19" i="128"/>
  <c r="L19" i="128"/>
  <c r="K19" i="128"/>
  <c r="N19" i="127"/>
  <c r="M19" i="127"/>
  <c r="L19" i="127"/>
  <c r="K19" i="127"/>
  <c r="N19" i="90"/>
  <c r="M19" i="90"/>
  <c r="L19" i="90"/>
  <c r="K19" i="90"/>
  <c r="N19" i="106"/>
  <c r="M19" i="106"/>
  <c r="L19" i="106"/>
  <c r="K19" i="106"/>
  <c r="N19" i="57"/>
  <c r="M19" i="57"/>
  <c r="L19" i="57"/>
  <c r="K19" i="57"/>
  <c r="N19" i="69"/>
  <c r="M19" i="69"/>
  <c r="L19" i="69"/>
  <c r="K19" i="69"/>
  <c r="N19" i="76"/>
  <c r="M19" i="76"/>
  <c r="L19" i="76"/>
  <c r="K19" i="76"/>
  <c r="N19" i="98"/>
  <c r="M19" i="98"/>
  <c r="L19" i="98"/>
  <c r="K19" i="98"/>
  <c r="N19" i="62"/>
  <c r="M19" i="62"/>
  <c r="L19" i="62"/>
  <c r="K19" i="62"/>
  <c r="N19" i="68"/>
  <c r="M19" i="68"/>
  <c r="L19" i="68"/>
  <c r="K19" i="68"/>
  <c r="N19" i="65"/>
  <c r="M19" i="65"/>
  <c r="L19" i="65"/>
  <c r="K19" i="65"/>
  <c r="N19" i="52"/>
  <c r="M19" i="52"/>
  <c r="L19" i="52"/>
  <c r="K19" i="52"/>
  <c r="N19" i="50"/>
  <c r="M19" i="50"/>
  <c r="L19" i="50"/>
  <c r="K19" i="50"/>
  <c r="N19" i="79"/>
  <c r="M19" i="79"/>
  <c r="L19" i="79"/>
  <c r="K19" i="79"/>
  <c r="N19" i="70"/>
  <c r="M19" i="70"/>
  <c r="L19" i="70"/>
  <c r="K19" i="70"/>
  <c r="N19" i="51"/>
  <c r="M19" i="51"/>
  <c r="L19" i="51"/>
  <c r="K19" i="51"/>
  <c r="N19" i="87"/>
  <c r="M19" i="87"/>
  <c r="L19" i="87"/>
  <c r="K19" i="87"/>
  <c r="N19" i="138"/>
  <c r="M19" i="138"/>
  <c r="L19" i="138"/>
  <c r="K19" i="138"/>
  <c r="N19" i="58"/>
  <c r="L19" i="58"/>
  <c r="K19" i="58"/>
  <c r="N19" i="72"/>
  <c r="M19" i="72"/>
  <c r="L19" i="72"/>
  <c r="K19" i="72"/>
  <c r="N19" i="47"/>
  <c r="M19" i="47"/>
  <c r="L19" i="47"/>
  <c r="K19" i="47"/>
  <c r="N19" i="71"/>
  <c r="M19" i="71"/>
  <c r="L19" i="71"/>
  <c r="K19" i="71"/>
  <c r="N19" i="53"/>
  <c r="M19" i="53"/>
  <c r="L19" i="53"/>
  <c r="K19" i="53"/>
  <c r="N19" i="64"/>
  <c r="M19" i="64"/>
  <c r="L19" i="64"/>
  <c r="K19" i="64"/>
  <c r="N19" i="49"/>
  <c r="M19" i="49"/>
  <c r="L19" i="49"/>
  <c r="K19" i="49"/>
  <c r="N19" i="96"/>
  <c r="M19" i="96"/>
  <c r="L19" i="96"/>
  <c r="K19" i="96"/>
  <c r="N19" i="3"/>
  <c r="M19" i="3"/>
  <c r="L19" i="3"/>
  <c r="K19" i="3"/>
  <c r="N19" i="55"/>
  <c r="M19" i="55"/>
  <c r="L19" i="55"/>
  <c r="K19" i="55"/>
  <c r="N19" i="56"/>
  <c r="M19" i="56"/>
  <c r="L19" i="56"/>
  <c r="K19" i="56"/>
  <c r="L19" i="61"/>
  <c r="K19" i="61"/>
  <c r="N19" i="81"/>
  <c r="M19" i="81"/>
  <c r="L19" i="81"/>
  <c r="K19" i="81"/>
  <c r="N19" i="66"/>
  <c r="M19" i="66"/>
  <c r="L19" i="66"/>
  <c r="K19" i="66"/>
  <c r="N19" i="67"/>
  <c r="M19" i="67"/>
  <c r="L19" i="67"/>
  <c r="K19" i="67"/>
  <c r="N19" i="48"/>
  <c r="M19" i="48"/>
  <c r="L19" i="48"/>
  <c r="K19" i="48"/>
  <c r="N19" i="95"/>
  <c r="M19" i="95"/>
  <c r="L19" i="95"/>
  <c r="K19" i="95"/>
  <c r="N19" i="60"/>
  <c r="M19" i="60"/>
  <c r="L19" i="60"/>
  <c r="K19" i="60"/>
  <c r="K19" i="83"/>
  <c r="N19" i="83"/>
  <c r="M19" i="83"/>
  <c r="L19" i="83"/>
  <c r="N19" i="84"/>
  <c r="M19" i="84"/>
  <c r="L19" i="84"/>
  <c r="K19" i="84"/>
  <c r="O25" i="150" l="1"/>
  <c r="I23" i="150"/>
  <c r="I26" i="150" s="1"/>
  <c r="E23" i="150"/>
  <c r="E26" i="150" s="1"/>
  <c r="J21" i="150"/>
  <c r="I21" i="150"/>
  <c r="I28" i="150" s="1"/>
  <c r="H21" i="150"/>
  <c r="H23" i="150" s="1"/>
  <c r="H26" i="150" s="1"/>
  <c r="G21" i="150"/>
  <c r="G23" i="150" s="1"/>
  <c r="G26" i="150" s="1"/>
  <c r="F21" i="150"/>
  <c r="F23" i="150" s="1"/>
  <c r="F26" i="150" s="1"/>
  <c r="E21" i="150"/>
  <c r="D21" i="150"/>
  <c r="D23" i="150" s="1"/>
  <c r="D26" i="150" s="1"/>
  <c r="C21" i="150"/>
  <c r="C23" i="150" s="1"/>
  <c r="O9" i="150"/>
  <c r="N9" i="150"/>
  <c r="M9" i="150"/>
  <c r="L9" i="150"/>
  <c r="K9" i="150"/>
  <c r="J9" i="150"/>
  <c r="I9" i="150"/>
  <c r="H9" i="150"/>
  <c r="G9" i="150"/>
  <c r="F9" i="150"/>
  <c r="E9" i="150"/>
  <c r="D9" i="150"/>
  <c r="C9" i="150"/>
  <c r="O25" i="149"/>
  <c r="J21" i="149"/>
  <c r="J23" i="149" s="1"/>
  <c r="J26" i="149" s="1"/>
  <c r="I21" i="149"/>
  <c r="H21" i="149"/>
  <c r="H23" i="149" s="1"/>
  <c r="H26" i="149" s="1"/>
  <c r="G21" i="149"/>
  <c r="G23" i="149" s="1"/>
  <c r="G26" i="149" s="1"/>
  <c r="F21" i="149"/>
  <c r="F23" i="149" s="1"/>
  <c r="F26" i="149" s="1"/>
  <c r="E21" i="149"/>
  <c r="D21" i="149"/>
  <c r="D23" i="149" s="1"/>
  <c r="D26" i="149" s="1"/>
  <c r="C21" i="149"/>
  <c r="C23" i="149" s="1"/>
  <c r="O9" i="149"/>
  <c r="N9" i="149"/>
  <c r="M9" i="149"/>
  <c r="L9" i="149"/>
  <c r="K9" i="149"/>
  <c r="J9" i="149"/>
  <c r="I9" i="149"/>
  <c r="H9" i="149"/>
  <c r="G9" i="149"/>
  <c r="F9" i="149"/>
  <c r="E9" i="149"/>
  <c r="D9" i="149"/>
  <c r="C9" i="149"/>
  <c r="O25" i="145"/>
  <c r="M23" i="145"/>
  <c r="M26" i="145" s="1"/>
  <c r="I23" i="145"/>
  <c r="I26" i="145" s="1"/>
  <c r="E23" i="145"/>
  <c r="E26" i="145" s="1"/>
  <c r="O21" i="145"/>
  <c r="N21" i="145"/>
  <c r="M21" i="145"/>
  <c r="M28" i="145" s="1"/>
  <c r="L21" i="145"/>
  <c r="L23" i="145" s="1"/>
  <c r="L26" i="145" s="1"/>
  <c r="K21" i="145"/>
  <c r="K23" i="145" s="1"/>
  <c r="K26" i="145" s="1"/>
  <c r="J21" i="145"/>
  <c r="I21" i="145"/>
  <c r="I28" i="145" s="1"/>
  <c r="H21" i="145"/>
  <c r="H23" i="145" s="1"/>
  <c r="H26" i="145" s="1"/>
  <c r="G21" i="145"/>
  <c r="G23" i="145" s="1"/>
  <c r="G26" i="145" s="1"/>
  <c r="F21" i="145"/>
  <c r="E21" i="145"/>
  <c r="D21" i="145"/>
  <c r="D23" i="145" s="1"/>
  <c r="D26" i="145" s="1"/>
  <c r="C21" i="145"/>
  <c r="C23" i="145" s="1"/>
  <c r="O9" i="145"/>
  <c r="N9" i="145"/>
  <c r="M9" i="145"/>
  <c r="L9" i="145"/>
  <c r="K9" i="145"/>
  <c r="J9" i="145"/>
  <c r="I9" i="145"/>
  <c r="H9" i="145"/>
  <c r="G9" i="145"/>
  <c r="F9" i="145"/>
  <c r="E9" i="145"/>
  <c r="D9" i="145"/>
  <c r="C9" i="145"/>
  <c r="O25" i="146"/>
  <c r="M23" i="146"/>
  <c r="M26" i="146" s="1"/>
  <c r="I23" i="146"/>
  <c r="I26" i="146" s="1"/>
  <c r="E23" i="146"/>
  <c r="E26" i="146" s="1"/>
  <c r="O21" i="146"/>
  <c r="N21" i="146"/>
  <c r="M21" i="146"/>
  <c r="M28" i="146" s="1"/>
  <c r="L21" i="146"/>
  <c r="L23" i="146" s="1"/>
  <c r="L26" i="146" s="1"/>
  <c r="K21" i="146"/>
  <c r="K23" i="146" s="1"/>
  <c r="K26" i="146" s="1"/>
  <c r="J21" i="146"/>
  <c r="J23" i="146" s="1"/>
  <c r="J26" i="146" s="1"/>
  <c r="I21" i="146"/>
  <c r="H21" i="146"/>
  <c r="H23" i="146" s="1"/>
  <c r="H26" i="146" s="1"/>
  <c r="G21" i="146"/>
  <c r="G23" i="146" s="1"/>
  <c r="G26" i="146" s="1"/>
  <c r="F21" i="146"/>
  <c r="E21" i="146"/>
  <c r="D21" i="146"/>
  <c r="D23" i="146" s="1"/>
  <c r="D26" i="146" s="1"/>
  <c r="C21" i="146"/>
  <c r="C23" i="146" s="1"/>
  <c r="O9" i="146"/>
  <c r="N9" i="146"/>
  <c r="M9" i="146"/>
  <c r="L9" i="146"/>
  <c r="K9" i="146"/>
  <c r="J9" i="146"/>
  <c r="I9" i="146"/>
  <c r="H9" i="146"/>
  <c r="G9" i="146"/>
  <c r="F9" i="146"/>
  <c r="E9" i="146"/>
  <c r="D9" i="146"/>
  <c r="C9" i="146"/>
  <c r="O25" i="144"/>
  <c r="I23" i="144"/>
  <c r="I26" i="144" s="1"/>
  <c r="E23" i="144"/>
  <c r="E26" i="144" s="1"/>
  <c r="J21" i="144"/>
  <c r="J23" i="144" s="1"/>
  <c r="J26" i="144" s="1"/>
  <c r="I21" i="144"/>
  <c r="I28" i="144" s="1"/>
  <c r="H21" i="144"/>
  <c r="H23" i="144" s="1"/>
  <c r="H26" i="144" s="1"/>
  <c r="G21" i="144"/>
  <c r="F21" i="144"/>
  <c r="E21" i="144"/>
  <c r="D21" i="144"/>
  <c r="D23" i="144" s="1"/>
  <c r="D26" i="144" s="1"/>
  <c r="C21" i="144"/>
  <c r="O9" i="144"/>
  <c r="N9" i="144"/>
  <c r="M9" i="144"/>
  <c r="L9" i="144"/>
  <c r="K9" i="144"/>
  <c r="J9" i="144"/>
  <c r="I9" i="144"/>
  <c r="H9" i="144"/>
  <c r="G9" i="144"/>
  <c r="F9" i="144"/>
  <c r="E9" i="144"/>
  <c r="D9" i="144"/>
  <c r="C9" i="144"/>
  <c r="O25" i="148"/>
  <c r="M23" i="148"/>
  <c r="M26" i="148" s="1"/>
  <c r="I23" i="148"/>
  <c r="I26" i="148" s="1"/>
  <c r="E23" i="148"/>
  <c r="E26" i="148" s="1"/>
  <c r="O21" i="148"/>
  <c r="N21" i="148"/>
  <c r="M21" i="148"/>
  <c r="M28" i="148" s="1"/>
  <c r="L21" i="148"/>
  <c r="L23" i="148" s="1"/>
  <c r="L26" i="148" s="1"/>
  <c r="K21" i="148"/>
  <c r="K23" i="148" s="1"/>
  <c r="K26" i="148" s="1"/>
  <c r="J21" i="148"/>
  <c r="J23" i="148" s="1"/>
  <c r="J26" i="148" s="1"/>
  <c r="I21" i="148"/>
  <c r="I28" i="148" s="1"/>
  <c r="H21" i="148"/>
  <c r="H23" i="148" s="1"/>
  <c r="H26" i="148" s="1"/>
  <c r="G21" i="148"/>
  <c r="G23" i="148" s="1"/>
  <c r="G26" i="148" s="1"/>
  <c r="F21" i="148"/>
  <c r="E21" i="148"/>
  <c r="D21" i="148"/>
  <c r="D23" i="148" s="1"/>
  <c r="D26" i="148" s="1"/>
  <c r="C21" i="148"/>
  <c r="C23" i="148" s="1"/>
  <c r="O9" i="148"/>
  <c r="N9" i="148"/>
  <c r="M9" i="148"/>
  <c r="L9" i="148"/>
  <c r="K9" i="148"/>
  <c r="J9" i="148"/>
  <c r="I9" i="148"/>
  <c r="H9" i="148"/>
  <c r="G9" i="148"/>
  <c r="F9" i="148"/>
  <c r="E9" i="148"/>
  <c r="D9" i="148"/>
  <c r="C9" i="148"/>
  <c r="G26" i="147"/>
  <c r="C26" i="147"/>
  <c r="O25" i="147"/>
  <c r="I23" i="147"/>
  <c r="I26" i="147" s="1"/>
  <c r="G23" i="147"/>
  <c r="E23" i="147"/>
  <c r="E26" i="147" s="1"/>
  <c r="C23" i="147"/>
  <c r="J21" i="147"/>
  <c r="I21" i="147"/>
  <c r="H21" i="147"/>
  <c r="H23" i="147" s="1"/>
  <c r="H26" i="147" s="1"/>
  <c r="G21" i="147"/>
  <c r="G28" i="147" s="1"/>
  <c r="F21" i="147"/>
  <c r="E21" i="147"/>
  <c r="E28" i="147" s="1"/>
  <c r="D21" i="147"/>
  <c r="D23" i="147" s="1"/>
  <c r="D26" i="147" s="1"/>
  <c r="C21" i="147"/>
  <c r="C28" i="147" s="1"/>
  <c r="O9" i="147"/>
  <c r="N9" i="147"/>
  <c r="M9" i="147"/>
  <c r="L9" i="147"/>
  <c r="K9" i="147"/>
  <c r="J9" i="147"/>
  <c r="I9" i="147"/>
  <c r="H9" i="147"/>
  <c r="G9" i="147"/>
  <c r="F9" i="147"/>
  <c r="E9" i="147"/>
  <c r="D9" i="147"/>
  <c r="C9" i="147"/>
  <c r="H26" i="142"/>
  <c r="D26" i="142"/>
  <c r="O25" i="142"/>
  <c r="I23" i="142"/>
  <c r="I26" i="142" s="1"/>
  <c r="H23" i="142"/>
  <c r="E23" i="142"/>
  <c r="E26" i="142" s="1"/>
  <c r="D23" i="142"/>
  <c r="J21" i="142"/>
  <c r="J23" i="142" s="1"/>
  <c r="J26" i="142" s="1"/>
  <c r="I21" i="142"/>
  <c r="H21" i="142"/>
  <c r="H28" i="142" s="1"/>
  <c r="G21" i="142"/>
  <c r="G23" i="142" s="1"/>
  <c r="G26" i="142" s="1"/>
  <c r="F21" i="142"/>
  <c r="F23" i="142" s="1"/>
  <c r="F26" i="142" s="1"/>
  <c r="E21" i="142"/>
  <c r="E28" i="142" s="1"/>
  <c r="D21" i="142"/>
  <c r="D28" i="142" s="1"/>
  <c r="C21" i="142"/>
  <c r="O9" i="142"/>
  <c r="N9" i="142"/>
  <c r="M9" i="142"/>
  <c r="L9" i="142"/>
  <c r="K9" i="142"/>
  <c r="J9" i="142"/>
  <c r="I9" i="142"/>
  <c r="H9" i="142"/>
  <c r="G9" i="142"/>
  <c r="F9" i="142"/>
  <c r="E9" i="142"/>
  <c r="D9" i="142"/>
  <c r="C9" i="142"/>
  <c r="O25" i="141"/>
  <c r="I23" i="141"/>
  <c r="I26" i="141" s="1"/>
  <c r="E23" i="141"/>
  <c r="E26" i="141" s="1"/>
  <c r="J21" i="141"/>
  <c r="I21" i="141"/>
  <c r="I28" i="141" s="1"/>
  <c r="H21" i="141"/>
  <c r="H23" i="141" s="1"/>
  <c r="H26" i="141" s="1"/>
  <c r="G21" i="141"/>
  <c r="G23" i="141" s="1"/>
  <c r="G26" i="141" s="1"/>
  <c r="F21" i="141"/>
  <c r="F23" i="141" s="1"/>
  <c r="F26" i="141" s="1"/>
  <c r="E21" i="141"/>
  <c r="D21" i="141"/>
  <c r="D23" i="141" s="1"/>
  <c r="D26" i="141" s="1"/>
  <c r="C21" i="141"/>
  <c r="C23" i="141" s="1"/>
  <c r="O9" i="141"/>
  <c r="N9" i="141"/>
  <c r="M9" i="141"/>
  <c r="L9" i="141"/>
  <c r="K9" i="141"/>
  <c r="J9" i="141"/>
  <c r="I9" i="141"/>
  <c r="H9" i="141"/>
  <c r="G9" i="141"/>
  <c r="F9" i="141"/>
  <c r="E9" i="141"/>
  <c r="D9" i="141"/>
  <c r="C9" i="141"/>
  <c r="O25" i="140"/>
  <c r="M23" i="140"/>
  <c r="M26" i="140" s="1"/>
  <c r="I23" i="140"/>
  <c r="I26" i="140" s="1"/>
  <c r="E23" i="140"/>
  <c r="E26" i="140" s="1"/>
  <c r="O21" i="140"/>
  <c r="N21" i="140"/>
  <c r="M21" i="140"/>
  <c r="M28" i="140" s="1"/>
  <c r="L21" i="140"/>
  <c r="L23" i="140" s="1"/>
  <c r="L26" i="140" s="1"/>
  <c r="K21" i="140"/>
  <c r="K23" i="140" s="1"/>
  <c r="K26" i="140" s="1"/>
  <c r="J21" i="140"/>
  <c r="J23" i="140" s="1"/>
  <c r="J26" i="140" s="1"/>
  <c r="I21" i="140"/>
  <c r="I28" i="140" s="1"/>
  <c r="H21" i="140"/>
  <c r="H23" i="140" s="1"/>
  <c r="H26" i="140" s="1"/>
  <c r="G21" i="140"/>
  <c r="F21" i="140"/>
  <c r="F23" i="140" s="1"/>
  <c r="F26" i="140" s="1"/>
  <c r="E21" i="140"/>
  <c r="D21" i="140"/>
  <c r="D23" i="140" s="1"/>
  <c r="D26" i="140" s="1"/>
  <c r="C21" i="140"/>
  <c r="C23" i="140" s="1"/>
  <c r="O9" i="140"/>
  <c r="N9" i="140"/>
  <c r="M9" i="140"/>
  <c r="L9" i="140"/>
  <c r="K9" i="140"/>
  <c r="J9" i="140"/>
  <c r="I9" i="140"/>
  <c r="H9" i="140"/>
  <c r="G9" i="140"/>
  <c r="F9" i="140"/>
  <c r="E9" i="140"/>
  <c r="D9" i="140"/>
  <c r="C9" i="140"/>
  <c r="O25" i="139"/>
  <c r="M23" i="139"/>
  <c r="M26" i="139" s="1"/>
  <c r="I23" i="139"/>
  <c r="I26" i="139" s="1"/>
  <c r="E23" i="139"/>
  <c r="E26" i="139" s="1"/>
  <c r="N21" i="139"/>
  <c r="M21" i="139"/>
  <c r="M28" i="139" s="1"/>
  <c r="L21" i="139"/>
  <c r="K21" i="139"/>
  <c r="K23" i="139" s="1"/>
  <c r="K26" i="139" s="1"/>
  <c r="J21" i="139"/>
  <c r="J23" i="139" s="1"/>
  <c r="J26" i="139" s="1"/>
  <c r="I21" i="139"/>
  <c r="I28" i="139" s="1"/>
  <c r="H21" i="139"/>
  <c r="H23" i="139" s="1"/>
  <c r="H26" i="139" s="1"/>
  <c r="G21" i="139"/>
  <c r="G23" i="139" s="1"/>
  <c r="G26" i="139" s="1"/>
  <c r="F21" i="139"/>
  <c r="E21" i="139"/>
  <c r="D21" i="139"/>
  <c r="D23" i="139" s="1"/>
  <c r="D26" i="139" s="1"/>
  <c r="C21" i="139"/>
  <c r="C23" i="139" s="1"/>
  <c r="O9" i="139"/>
  <c r="N9" i="139"/>
  <c r="M9" i="139"/>
  <c r="L9" i="139"/>
  <c r="K9" i="139"/>
  <c r="J9" i="139"/>
  <c r="I9" i="139"/>
  <c r="H9" i="139"/>
  <c r="G9" i="139"/>
  <c r="F9" i="139"/>
  <c r="E9" i="139"/>
  <c r="D9" i="139"/>
  <c r="C9" i="139"/>
  <c r="O25" i="137"/>
  <c r="M23" i="137"/>
  <c r="M26" i="137" s="1"/>
  <c r="I23" i="137"/>
  <c r="I26" i="137" s="1"/>
  <c r="E23" i="137"/>
  <c r="E26" i="137" s="1"/>
  <c r="O21" i="137"/>
  <c r="N21" i="137"/>
  <c r="N23" i="137" s="1"/>
  <c r="N26" i="137" s="1"/>
  <c r="M21" i="137"/>
  <c r="M28" i="137" s="1"/>
  <c r="L21" i="137"/>
  <c r="L23" i="137" s="1"/>
  <c r="L26" i="137" s="1"/>
  <c r="K21" i="137"/>
  <c r="K23" i="137" s="1"/>
  <c r="K26" i="137" s="1"/>
  <c r="J21" i="137"/>
  <c r="I21" i="137"/>
  <c r="I28" i="137" s="1"/>
  <c r="H21" i="137"/>
  <c r="H23" i="137" s="1"/>
  <c r="H26" i="137" s="1"/>
  <c r="G21" i="137"/>
  <c r="G23" i="137" s="1"/>
  <c r="G26" i="137" s="1"/>
  <c r="F21" i="137"/>
  <c r="E21" i="137"/>
  <c r="D21" i="137"/>
  <c r="D23" i="137" s="1"/>
  <c r="D26" i="137" s="1"/>
  <c r="C21" i="137"/>
  <c r="C23" i="137" s="1"/>
  <c r="O9" i="137"/>
  <c r="N9" i="137"/>
  <c r="M9" i="137"/>
  <c r="L9" i="137"/>
  <c r="K9" i="137"/>
  <c r="J9" i="137"/>
  <c r="I9" i="137"/>
  <c r="H9" i="137"/>
  <c r="G9" i="137"/>
  <c r="F9" i="137"/>
  <c r="E9" i="137"/>
  <c r="D9" i="137"/>
  <c r="C9" i="137"/>
  <c r="L26" i="135"/>
  <c r="H26" i="135"/>
  <c r="D26" i="135"/>
  <c r="O25" i="135"/>
  <c r="M23" i="135"/>
  <c r="M26" i="135" s="1"/>
  <c r="L23" i="135"/>
  <c r="I23" i="135"/>
  <c r="I26" i="135" s="1"/>
  <c r="H23" i="135"/>
  <c r="E23" i="135"/>
  <c r="E26" i="135" s="1"/>
  <c r="D23" i="135"/>
  <c r="O21" i="135"/>
  <c r="N21" i="135"/>
  <c r="N23" i="135" s="1"/>
  <c r="N26" i="135" s="1"/>
  <c r="M21" i="135"/>
  <c r="M28" i="135" s="1"/>
  <c r="L21" i="135"/>
  <c r="L28" i="135" s="1"/>
  <c r="K21" i="135"/>
  <c r="K23" i="135" s="1"/>
  <c r="K26" i="135" s="1"/>
  <c r="J21" i="135"/>
  <c r="I21" i="135"/>
  <c r="H21" i="135"/>
  <c r="H28" i="135" s="1"/>
  <c r="G21" i="135"/>
  <c r="G23" i="135" s="1"/>
  <c r="G26" i="135" s="1"/>
  <c r="F21" i="135"/>
  <c r="F23" i="135" s="1"/>
  <c r="F26" i="135" s="1"/>
  <c r="E21" i="135"/>
  <c r="E28" i="135" s="1"/>
  <c r="D21" i="135"/>
  <c r="D28" i="135" s="1"/>
  <c r="C21" i="135"/>
  <c r="C23" i="135" s="1"/>
  <c r="O9" i="135"/>
  <c r="N9" i="135"/>
  <c r="M9" i="135"/>
  <c r="L9" i="135"/>
  <c r="K9" i="135"/>
  <c r="J9" i="135"/>
  <c r="I9" i="135"/>
  <c r="H9" i="135"/>
  <c r="G9" i="135"/>
  <c r="F9" i="135"/>
  <c r="E9" i="135"/>
  <c r="D9" i="135"/>
  <c r="C9" i="135"/>
  <c r="O25" i="134"/>
  <c r="M23" i="134"/>
  <c r="M26" i="134" s="1"/>
  <c r="I23" i="134"/>
  <c r="I26" i="134" s="1"/>
  <c r="E23" i="134"/>
  <c r="E26" i="134" s="1"/>
  <c r="O21" i="134"/>
  <c r="N21" i="134"/>
  <c r="N23" i="134" s="1"/>
  <c r="N26" i="134" s="1"/>
  <c r="M21" i="134"/>
  <c r="M28" i="134" s="1"/>
  <c r="L21" i="134"/>
  <c r="L23" i="134" s="1"/>
  <c r="L26" i="134" s="1"/>
  <c r="K21" i="134"/>
  <c r="J21" i="134"/>
  <c r="J23" i="134" s="1"/>
  <c r="J26" i="134" s="1"/>
  <c r="I21" i="134"/>
  <c r="I28" i="134" s="1"/>
  <c r="H21" i="134"/>
  <c r="H23" i="134" s="1"/>
  <c r="H26" i="134" s="1"/>
  <c r="G21" i="134"/>
  <c r="G23" i="134" s="1"/>
  <c r="G26" i="134" s="1"/>
  <c r="F21" i="134"/>
  <c r="E21" i="134"/>
  <c r="D21" i="134"/>
  <c r="D23" i="134" s="1"/>
  <c r="D26" i="134" s="1"/>
  <c r="C21" i="134"/>
  <c r="O9" i="134"/>
  <c r="N9" i="134"/>
  <c r="M9" i="134"/>
  <c r="L9" i="134"/>
  <c r="K9" i="134"/>
  <c r="J9" i="134"/>
  <c r="I9" i="134"/>
  <c r="H9" i="134"/>
  <c r="G9" i="134"/>
  <c r="F9" i="134"/>
  <c r="E9" i="134"/>
  <c r="D9" i="134"/>
  <c r="C9" i="134"/>
  <c r="G26" i="132"/>
  <c r="C26" i="132"/>
  <c r="O25" i="132"/>
  <c r="I23" i="132"/>
  <c r="I26" i="132" s="1"/>
  <c r="G23" i="132"/>
  <c r="E23" i="132"/>
  <c r="E26" i="132" s="1"/>
  <c r="C23" i="132"/>
  <c r="N21" i="132"/>
  <c r="M21" i="132"/>
  <c r="L21" i="132"/>
  <c r="L23" i="132" s="1"/>
  <c r="L26" i="132" s="1"/>
  <c r="K21" i="132"/>
  <c r="J21" i="132"/>
  <c r="I21" i="132"/>
  <c r="H21" i="132"/>
  <c r="H23" i="132" s="1"/>
  <c r="H26" i="132" s="1"/>
  <c r="G21" i="132"/>
  <c r="G28" i="132" s="1"/>
  <c r="F21" i="132"/>
  <c r="E21" i="132"/>
  <c r="E28" i="132" s="1"/>
  <c r="D21" i="132"/>
  <c r="D23" i="132" s="1"/>
  <c r="D26" i="132" s="1"/>
  <c r="C21" i="132"/>
  <c r="C28" i="132" s="1"/>
  <c r="O9" i="132"/>
  <c r="N9" i="132"/>
  <c r="M9" i="132"/>
  <c r="L9" i="132"/>
  <c r="K9" i="132"/>
  <c r="J9" i="132"/>
  <c r="I9" i="132"/>
  <c r="H9" i="132"/>
  <c r="G9" i="132"/>
  <c r="F9" i="132"/>
  <c r="E9" i="132"/>
  <c r="D9" i="132"/>
  <c r="C9" i="132"/>
  <c r="O25" i="130"/>
  <c r="M23" i="130"/>
  <c r="M26" i="130" s="1"/>
  <c r="I23" i="130"/>
  <c r="I26" i="130" s="1"/>
  <c r="E23" i="130"/>
  <c r="E26" i="130" s="1"/>
  <c r="O21" i="130"/>
  <c r="N21" i="130"/>
  <c r="M21" i="130"/>
  <c r="M28" i="130" s="1"/>
  <c r="L21" i="130"/>
  <c r="L23" i="130" s="1"/>
  <c r="L26" i="130" s="1"/>
  <c r="K21" i="130"/>
  <c r="K23" i="130" s="1"/>
  <c r="K26" i="130" s="1"/>
  <c r="J21" i="130"/>
  <c r="J23" i="130" s="1"/>
  <c r="J26" i="130" s="1"/>
  <c r="I21" i="130"/>
  <c r="I28" i="130" s="1"/>
  <c r="H21" i="130"/>
  <c r="H23" i="130" s="1"/>
  <c r="H26" i="130" s="1"/>
  <c r="G21" i="130"/>
  <c r="G23" i="130" s="1"/>
  <c r="G26" i="130" s="1"/>
  <c r="F21" i="130"/>
  <c r="E21" i="130"/>
  <c r="D21" i="130"/>
  <c r="D23" i="130" s="1"/>
  <c r="D26" i="130" s="1"/>
  <c r="C21" i="130"/>
  <c r="C23" i="130" s="1"/>
  <c r="O9" i="130"/>
  <c r="N9" i="130"/>
  <c r="M9" i="130"/>
  <c r="L9" i="130"/>
  <c r="K9" i="130"/>
  <c r="J9" i="130"/>
  <c r="I9" i="130"/>
  <c r="H9" i="130"/>
  <c r="G9" i="130"/>
  <c r="F9" i="130"/>
  <c r="E9" i="130"/>
  <c r="D9" i="130"/>
  <c r="C9" i="130"/>
  <c r="O25" i="129"/>
  <c r="M23" i="129"/>
  <c r="M26" i="129" s="1"/>
  <c r="I23" i="129"/>
  <c r="I26" i="129" s="1"/>
  <c r="E23" i="129"/>
  <c r="E26" i="129" s="1"/>
  <c r="O21" i="129"/>
  <c r="N21" i="129"/>
  <c r="M21" i="129"/>
  <c r="M28" i="129" s="1"/>
  <c r="L21" i="129"/>
  <c r="L23" i="129" s="1"/>
  <c r="L26" i="129" s="1"/>
  <c r="K21" i="129"/>
  <c r="K23" i="129" s="1"/>
  <c r="K26" i="129" s="1"/>
  <c r="J21" i="129"/>
  <c r="J23" i="129" s="1"/>
  <c r="J26" i="129" s="1"/>
  <c r="I21" i="129"/>
  <c r="I28" i="129" s="1"/>
  <c r="H21" i="129"/>
  <c r="H23" i="129" s="1"/>
  <c r="H26" i="129" s="1"/>
  <c r="G21" i="129"/>
  <c r="G23" i="129" s="1"/>
  <c r="G26" i="129" s="1"/>
  <c r="F21" i="129"/>
  <c r="E21" i="129"/>
  <c r="D21" i="129"/>
  <c r="D23" i="129" s="1"/>
  <c r="D26" i="129" s="1"/>
  <c r="C21" i="129"/>
  <c r="C23" i="129" s="1"/>
  <c r="O9" i="129"/>
  <c r="N9" i="129"/>
  <c r="M9" i="129"/>
  <c r="L9" i="129"/>
  <c r="K9" i="129"/>
  <c r="J9" i="129"/>
  <c r="I9" i="129"/>
  <c r="H9" i="129"/>
  <c r="G9" i="129"/>
  <c r="F9" i="129"/>
  <c r="E9" i="129"/>
  <c r="D9" i="129"/>
  <c r="C9" i="129"/>
  <c r="O25" i="128"/>
  <c r="I23" i="128"/>
  <c r="I26" i="128" s="1"/>
  <c r="E23" i="128"/>
  <c r="E26" i="128" s="1"/>
  <c r="N21" i="128"/>
  <c r="N23" i="128" s="1"/>
  <c r="N26" i="128" s="1"/>
  <c r="M21" i="128"/>
  <c r="L21" i="128"/>
  <c r="L23" i="128" s="1"/>
  <c r="L26" i="128" s="1"/>
  <c r="K21" i="128"/>
  <c r="J21" i="128"/>
  <c r="J23" i="128" s="1"/>
  <c r="J26" i="128" s="1"/>
  <c r="I21" i="128"/>
  <c r="I28" i="128" s="1"/>
  <c r="H21" i="128"/>
  <c r="H23" i="128" s="1"/>
  <c r="H26" i="128" s="1"/>
  <c r="G21" i="128"/>
  <c r="G23" i="128" s="1"/>
  <c r="G26" i="128" s="1"/>
  <c r="F21" i="128"/>
  <c r="F23" i="128" s="1"/>
  <c r="F26" i="128" s="1"/>
  <c r="E21" i="128"/>
  <c r="D21" i="128"/>
  <c r="D23" i="128" s="1"/>
  <c r="D26" i="128" s="1"/>
  <c r="C21" i="128"/>
  <c r="O9" i="128"/>
  <c r="N9" i="128"/>
  <c r="M9" i="128"/>
  <c r="L9" i="128"/>
  <c r="K9" i="128"/>
  <c r="J9" i="128"/>
  <c r="I9" i="128"/>
  <c r="H9" i="128"/>
  <c r="G9" i="128"/>
  <c r="F9" i="128"/>
  <c r="E9" i="128"/>
  <c r="D9" i="128"/>
  <c r="C9" i="128"/>
  <c r="O25" i="127"/>
  <c r="M23" i="127"/>
  <c r="M26" i="127" s="1"/>
  <c r="I23" i="127"/>
  <c r="I26" i="127" s="1"/>
  <c r="E23" i="127"/>
  <c r="E26" i="127" s="1"/>
  <c r="N21" i="127"/>
  <c r="N23" i="127" s="1"/>
  <c r="N26" i="127" s="1"/>
  <c r="M21" i="127"/>
  <c r="L21" i="127"/>
  <c r="L23" i="127" s="1"/>
  <c r="L26" i="127" s="1"/>
  <c r="K21" i="127"/>
  <c r="J21" i="127"/>
  <c r="I21" i="127"/>
  <c r="I28" i="127" s="1"/>
  <c r="H21" i="127"/>
  <c r="H23" i="127" s="1"/>
  <c r="H26" i="127" s="1"/>
  <c r="G21" i="127"/>
  <c r="G23" i="127" s="1"/>
  <c r="G26" i="127" s="1"/>
  <c r="F21" i="127"/>
  <c r="F23" i="127" s="1"/>
  <c r="F26" i="127" s="1"/>
  <c r="E21" i="127"/>
  <c r="D21" i="127"/>
  <c r="D23" i="127" s="1"/>
  <c r="D26" i="127" s="1"/>
  <c r="C21" i="127"/>
  <c r="O9" i="127"/>
  <c r="N9" i="127"/>
  <c r="M9" i="127"/>
  <c r="L9" i="127"/>
  <c r="K9" i="127"/>
  <c r="J9" i="127"/>
  <c r="I9" i="127"/>
  <c r="H9" i="127"/>
  <c r="G9" i="127"/>
  <c r="F9" i="127"/>
  <c r="E9" i="127"/>
  <c r="D9" i="127"/>
  <c r="C9" i="127"/>
  <c r="O25" i="125"/>
  <c r="M23" i="125"/>
  <c r="M26" i="125" s="1"/>
  <c r="I23" i="125"/>
  <c r="I26" i="125" s="1"/>
  <c r="E23" i="125"/>
  <c r="E26" i="125" s="1"/>
  <c r="O21" i="125"/>
  <c r="N21" i="125"/>
  <c r="M21" i="125"/>
  <c r="M28" i="125" s="1"/>
  <c r="L21" i="125"/>
  <c r="L23" i="125" s="1"/>
  <c r="L26" i="125" s="1"/>
  <c r="K21" i="125"/>
  <c r="J21" i="125"/>
  <c r="J23" i="125" s="1"/>
  <c r="J26" i="125" s="1"/>
  <c r="I21" i="125"/>
  <c r="I28" i="125" s="1"/>
  <c r="H21" i="125"/>
  <c r="H23" i="125" s="1"/>
  <c r="H26" i="125" s="1"/>
  <c r="G21" i="125"/>
  <c r="G23" i="125" s="1"/>
  <c r="G26" i="125" s="1"/>
  <c r="F21" i="125"/>
  <c r="F23" i="125" s="1"/>
  <c r="F26" i="125" s="1"/>
  <c r="E21" i="125"/>
  <c r="D21" i="125"/>
  <c r="D23" i="125" s="1"/>
  <c r="D26" i="125" s="1"/>
  <c r="C21" i="125"/>
  <c r="O9" i="125"/>
  <c r="N9" i="125"/>
  <c r="M9" i="125"/>
  <c r="L9" i="125"/>
  <c r="K9" i="125"/>
  <c r="J9" i="125"/>
  <c r="I9" i="125"/>
  <c r="H9" i="125"/>
  <c r="G9" i="125"/>
  <c r="F9" i="125"/>
  <c r="E9" i="125"/>
  <c r="D9" i="125"/>
  <c r="C9" i="125"/>
  <c r="K26" i="124"/>
  <c r="G26" i="124"/>
  <c r="C26" i="124"/>
  <c r="O25" i="124"/>
  <c r="M23" i="124"/>
  <c r="M26" i="124" s="1"/>
  <c r="K23" i="124"/>
  <c r="I23" i="124"/>
  <c r="I26" i="124" s="1"/>
  <c r="G23" i="124"/>
  <c r="E23" i="124"/>
  <c r="E26" i="124" s="1"/>
  <c r="C23" i="124"/>
  <c r="N21" i="124"/>
  <c r="M21" i="124"/>
  <c r="M28" i="124" s="1"/>
  <c r="L21" i="124"/>
  <c r="L23" i="124" s="1"/>
  <c r="L26" i="124" s="1"/>
  <c r="K21" i="124"/>
  <c r="K28" i="124" s="1"/>
  <c r="J21" i="124"/>
  <c r="I21" i="124"/>
  <c r="H21" i="124"/>
  <c r="H23" i="124" s="1"/>
  <c r="H26" i="124" s="1"/>
  <c r="G21" i="124"/>
  <c r="G28" i="124" s="1"/>
  <c r="F21" i="124"/>
  <c r="E21" i="124"/>
  <c r="E28" i="124" s="1"/>
  <c r="D21" i="124"/>
  <c r="D23" i="124" s="1"/>
  <c r="D26" i="124" s="1"/>
  <c r="C21" i="124"/>
  <c r="C28" i="124" s="1"/>
  <c r="O9" i="124"/>
  <c r="N9" i="124"/>
  <c r="M9" i="124"/>
  <c r="L9" i="124"/>
  <c r="K9" i="124"/>
  <c r="J9" i="124"/>
  <c r="I9" i="124"/>
  <c r="H9" i="124"/>
  <c r="G9" i="124"/>
  <c r="F9" i="124"/>
  <c r="E9" i="124"/>
  <c r="D9" i="124"/>
  <c r="C9" i="124"/>
  <c r="O25" i="122"/>
  <c r="K23" i="122"/>
  <c r="K26" i="122" s="1"/>
  <c r="G23" i="122"/>
  <c r="G26" i="122" s="1"/>
  <c r="C23" i="122"/>
  <c r="O21" i="122"/>
  <c r="N21" i="122"/>
  <c r="N23" i="122" s="1"/>
  <c r="N26" i="122" s="1"/>
  <c r="M21" i="122"/>
  <c r="L21" i="122"/>
  <c r="L23" i="122" s="1"/>
  <c r="L26" i="122" s="1"/>
  <c r="K21" i="122"/>
  <c r="J21" i="122"/>
  <c r="J23" i="122" s="1"/>
  <c r="J26" i="122" s="1"/>
  <c r="I21" i="122"/>
  <c r="H21" i="122"/>
  <c r="H23" i="122" s="1"/>
  <c r="H26" i="122" s="1"/>
  <c r="G21" i="122"/>
  <c r="G28" i="122" s="1"/>
  <c r="F21" i="122"/>
  <c r="F23" i="122" s="1"/>
  <c r="F26" i="122" s="1"/>
  <c r="E21" i="122"/>
  <c r="D21" i="122"/>
  <c r="D23" i="122" s="1"/>
  <c r="D26" i="122" s="1"/>
  <c r="C21" i="122"/>
  <c r="O9" i="122"/>
  <c r="N9" i="122"/>
  <c r="M9" i="122"/>
  <c r="L9" i="122"/>
  <c r="K9" i="122"/>
  <c r="J9" i="122"/>
  <c r="I9" i="122"/>
  <c r="H9" i="122"/>
  <c r="G9" i="122"/>
  <c r="F9" i="122"/>
  <c r="E9" i="122"/>
  <c r="D9" i="122"/>
  <c r="C9" i="122"/>
  <c r="O25" i="90"/>
  <c r="I23" i="90"/>
  <c r="I26" i="90" s="1"/>
  <c r="E23" i="90"/>
  <c r="E26" i="90" s="1"/>
  <c r="N21" i="90"/>
  <c r="N23" i="90" s="1"/>
  <c r="N26" i="90" s="1"/>
  <c r="M21" i="90"/>
  <c r="L21" i="90"/>
  <c r="L23" i="90" s="1"/>
  <c r="L26" i="90" s="1"/>
  <c r="K21" i="90"/>
  <c r="J21" i="90"/>
  <c r="J23" i="90" s="1"/>
  <c r="J26" i="90" s="1"/>
  <c r="I21" i="90"/>
  <c r="I28" i="90" s="1"/>
  <c r="H21" i="90"/>
  <c r="H23" i="90" s="1"/>
  <c r="H26" i="90" s="1"/>
  <c r="G21" i="90"/>
  <c r="G23" i="90" s="1"/>
  <c r="G26" i="90" s="1"/>
  <c r="F21" i="90"/>
  <c r="E21" i="90"/>
  <c r="D21" i="90"/>
  <c r="D23" i="90" s="1"/>
  <c r="D26" i="90" s="1"/>
  <c r="C21" i="90"/>
  <c r="O9" i="90"/>
  <c r="N9" i="90"/>
  <c r="M9" i="90"/>
  <c r="L9" i="90"/>
  <c r="K9" i="90"/>
  <c r="J9" i="90"/>
  <c r="I9" i="90"/>
  <c r="H9" i="90"/>
  <c r="G9" i="90"/>
  <c r="F9" i="90"/>
  <c r="E9" i="90"/>
  <c r="D9" i="90"/>
  <c r="C9" i="90"/>
  <c r="O25" i="105"/>
  <c r="M23" i="105"/>
  <c r="M26" i="105" s="1"/>
  <c r="I23" i="105"/>
  <c r="I26" i="105" s="1"/>
  <c r="E23" i="105"/>
  <c r="E26" i="105" s="1"/>
  <c r="O21" i="105"/>
  <c r="N21" i="105"/>
  <c r="N23" i="105" s="1"/>
  <c r="N26" i="105" s="1"/>
  <c r="M21" i="105"/>
  <c r="M28" i="105" s="1"/>
  <c r="L21" i="105"/>
  <c r="L23" i="105" s="1"/>
  <c r="L26" i="105" s="1"/>
  <c r="K21" i="105"/>
  <c r="J21" i="105"/>
  <c r="I21" i="105"/>
  <c r="I28" i="105" s="1"/>
  <c r="H21" i="105"/>
  <c r="H23" i="105" s="1"/>
  <c r="H26" i="105" s="1"/>
  <c r="G21" i="105"/>
  <c r="G23" i="105" s="1"/>
  <c r="G26" i="105" s="1"/>
  <c r="F21" i="105"/>
  <c r="F23" i="105" s="1"/>
  <c r="F26" i="105" s="1"/>
  <c r="E21" i="105"/>
  <c r="D21" i="105"/>
  <c r="D23" i="105" s="1"/>
  <c r="D26" i="105" s="1"/>
  <c r="C21" i="105"/>
  <c r="O9" i="105"/>
  <c r="N9" i="105"/>
  <c r="M9" i="105"/>
  <c r="L9" i="105"/>
  <c r="K9" i="105"/>
  <c r="J9" i="105"/>
  <c r="I9" i="105"/>
  <c r="H9" i="105"/>
  <c r="G9" i="105"/>
  <c r="F9" i="105"/>
  <c r="E9" i="105"/>
  <c r="D9" i="105"/>
  <c r="C9" i="105"/>
  <c r="O25" i="106"/>
  <c r="I23" i="106"/>
  <c r="I26" i="106" s="1"/>
  <c r="H23" i="106"/>
  <c r="H26" i="106" s="1"/>
  <c r="E23" i="106"/>
  <c r="E26" i="106" s="1"/>
  <c r="D23" i="106"/>
  <c r="D26" i="106" s="1"/>
  <c r="N21" i="106"/>
  <c r="M21" i="106"/>
  <c r="M23" i="106" s="1"/>
  <c r="M26" i="106" s="1"/>
  <c r="L21" i="106"/>
  <c r="L23" i="106" s="1"/>
  <c r="L26" i="106" s="1"/>
  <c r="K21" i="106"/>
  <c r="K23" i="106" s="1"/>
  <c r="K26" i="106" s="1"/>
  <c r="J21" i="106"/>
  <c r="J23" i="106" s="1"/>
  <c r="J26" i="106" s="1"/>
  <c r="I21" i="106"/>
  <c r="H21" i="106"/>
  <c r="H28" i="106" s="1"/>
  <c r="G21" i="106"/>
  <c r="G23" i="106" s="1"/>
  <c r="G26" i="106" s="1"/>
  <c r="F21" i="106"/>
  <c r="E21" i="106"/>
  <c r="E28" i="106" s="1"/>
  <c r="D21" i="106"/>
  <c r="D28" i="106" s="1"/>
  <c r="C21" i="106"/>
  <c r="C23" i="106" s="1"/>
  <c r="O9" i="106"/>
  <c r="N9" i="106"/>
  <c r="M9" i="106"/>
  <c r="L9" i="106"/>
  <c r="K9" i="106"/>
  <c r="J9" i="106"/>
  <c r="I9" i="106"/>
  <c r="H9" i="106"/>
  <c r="G9" i="106"/>
  <c r="F9" i="106"/>
  <c r="E9" i="106"/>
  <c r="D9" i="106"/>
  <c r="C9" i="106"/>
  <c r="O25" i="57"/>
  <c r="K23" i="57"/>
  <c r="K26" i="57" s="1"/>
  <c r="G23" i="57"/>
  <c r="G26" i="57" s="1"/>
  <c r="C23" i="57"/>
  <c r="N21" i="57"/>
  <c r="N23" i="57" s="1"/>
  <c r="N26" i="57" s="1"/>
  <c r="M21" i="57"/>
  <c r="L21" i="57"/>
  <c r="L23" i="57" s="1"/>
  <c r="L26" i="57" s="1"/>
  <c r="K21" i="57"/>
  <c r="J21" i="57"/>
  <c r="J23" i="57" s="1"/>
  <c r="J26" i="57" s="1"/>
  <c r="I21" i="57"/>
  <c r="H21" i="57"/>
  <c r="H23" i="57" s="1"/>
  <c r="H26" i="57" s="1"/>
  <c r="G21" i="57"/>
  <c r="G28" i="57" s="1"/>
  <c r="F21" i="57"/>
  <c r="F23" i="57" s="1"/>
  <c r="F26" i="57" s="1"/>
  <c r="E21" i="57"/>
  <c r="D21" i="57"/>
  <c r="D23" i="57" s="1"/>
  <c r="D26" i="57" s="1"/>
  <c r="C21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G26" i="69"/>
  <c r="C26" i="69"/>
  <c r="O25" i="69"/>
  <c r="M23" i="69"/>
  <c r="M26" i="69" s="1"/>
  <c r="I23" i="69"/>
  <c r="I26" i="69" s="1"/>
  <c r="G23" i="69"/>
  <c r="E23" i="69"/>
  <c r="E26" i="69" s="1"/>
  <c r="C23" i="69"/>
  <c r="N21" i="69"/>
  <c r="M21" i="69"/>
  <c r="L21" i="69"/>
  <c r="L23" i="69" s="1"/>
  <c r="L26" i="69" s="1"/>
  <c r="K21" i="69"/>
  <c r="J21" i="69"/>
  <c r="I21" i="69"/>
  <c r="H21" i="69"/>
  <c r="H23" i="69" s="1"/>
  <c r="H26" i="69" s="1"/>
  <c r="G21" i="69"/>
  <c r="G28" i="69" s="1"/>
  <c r="F21" i="69"/>
  <c r="E21" i="69"/>
  <c r="E28" i="69" s="1"/>
  <c r="D21" i="69"/>
  <c r="D23" i="69" s="1"/>
  <c r="D26" i="69" s="1"/>
  <c r="C21" i="69"/>
  <c r="C28" i="69" s="1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O25" i="76"/>
  <c r="I23" i="76"/>
  <c r="I26" i="76" s="1"/>
  <c r="H23" i="76"/>
  <c r="H26" i="76" s="1"/>
  <c r="E23" i="76"/>
  <c r="E26" i="76" s="1"/>
  <c r="D23" i="76"/>
  <c r="D26" i="76" s="1"/>
  <c r="N21" i="76"/>
  <c r="M21" i="76"/>
  <c r="L21" i="76"/>
  <c r="K21" i="76"/>
  <c r="K23" i="76" s="1"/>
  <c r="K26" i="76" s="1"/>
  <c r="J21" i="76"/>
  <c r="J23" i="76" s="1"/>
  <c r="J26" i="76" s="1"/>
  <c r="I21" i="76"/>
  <c r="H21" i="76"/>
  <c r="H28" i="76" s="1"/>
  <c r="G21" i="76"/>
  <c r="G23" i="76" s="1"/>
  <c r="G26" i="76" s="1"/>
  <c r="F21" i="76"/>
  <c r="E21" i="76"/>
  <c r="E28" i="76" s="1"/>
  <c r="D21" i="76"/>
  <c r="D28" i="76" s="1"/>
  <c r="C21" i="76"/>
  <c r="C23" i="76" s="1"/>
  <c r="O9" i="76"/>
  <c r="N9" i="76"/>
  <c r="M9" i="76"/>
  <c r="L9" i="76"/>
  <c r="K9" i="76"/>
  <c r="J9" i="76"/>
  <c r="I9" i="76"/>
  <c r="H9" i="76"/>
  <c r="G9" i="76"/>
  <c r="F9" i="76"/>
  <c r="E9" i="76"/>
  <c r="D9" i="76"/>
  <c r="C9" i="76"/>
  <c r="O25" i="97"/>
  <c r="M23" i="97"/>
  <c r="M26" i="97" s="1"/>
  <c r="I23" i="97"/>
  <c r="I26" i="97" s="1"/>
  <c r="E23" i="97"/>
  <c r="E26" i="97" s="1"/>
  <c r="O21" i="97"/>
  <c r="N21" i="97"/>
  <c r="N23" i="97" s="1"/>
  <c r="N26" i="97" s="1"/>
  <c r="M21" i="97"/>
  <c r="M28" i="97" s="1"/>
  <c r="L21" i="97"/>
  <c r="L23" i="97" s="1"/>
  <c r="L26" i="97" s="1"/>
  <c r="K21" i="97"/>
  <c r="K23" i="97" s="1"/>
  <c r="K26" i="97" s="1"/>
  <c r="J21" i="97"/>
  <c r="J23" i="97" s="1"/>
  <c r="J26" i="97" s="1"/>
  <c r="I21" i="97"/>
  <c r="I28" i="97" s="1"/>
  <c r="H21" i="97"/>
  <c r="H23" i="97" s="1"/>
  <c r="H26" i="97" s="1"/>
  <c r="G21" i="97"/>
  <c r="F21" i="97"/>
  <c r="F23" i="97" s="1"/>
  <c r="F26" i="97" s="1"/>
  <c r="E21" i="97"/>
  <c r="D21" i="97"/>
  <c r="D23" i="97" s="1"/>
  <c r="D26" i="97" s="1"/>
  <c r="C21" i="97"/>
  <c r="C23" i="97" s="1"/>
  <c r="O9" i="97"/>
  <c r="N9" i="97"/>
  <c r="M9" i="97"/>
  <c r="L9" i="97"/>
  <c r="K9" i="97"/>
  <c r="J9" i="97"/>
  <c r="I9" i="97"/>
  <c r="H9" i="97"/>
  <c r="G9" i="97"/>
  <c r="F9" i="97"/>
  <c r="E9" i="97"/>
  <c r="D9" i="97"/>
  <c r="C9" i="97"/>
  <c r="O25" i="98"/>
  <c r="I23" i="98"/>
  <c r="I26" i="98" s="1"/>
  <c r="E23" i="98"/>
  <c r="E26" i="98" s="1"/>
  <c r="N21" i="98"/>
  <c r="N23" i="98" s="1"/>
  <c r="N26" i="98" s="1"/>
  <c r="M21" i="98"/>
  <c r="L21" i="98"/>
  <c r="L23" i="98" s="1"/>
  <c r="L26" i="98" s="1"/>
  <c r="K21" i="98"/>
  <c r="K23" i="98" s="1"/>
  <c r="K26" i="98" s="1"/>
  <c r="J21" i="98"/>
  <c r="I21" i="98"/>
  <c r="I28" i="98" s="1"/>
  <c r="H21" i="98"/>
  <c r="H23" i="98" s="1"/>
  <c r="H26" i="98" s="1"/>
  <c r="G21" i="98"/>
  <c r="G23" i="98" s="1"/>
  <c r="G26" i="98" s="1"/>
  <c r="F21" i="98"/>
  <c r="E21" i="98"/>
  <c r="D21" i="98"/>
  <c r="D23" i="98" s="1"/>
  <c r="D26" i="98" s="1"/>
  <c r="C21" i="98"/>
  <c r="C23" i="98" s="1"/>
  <c r="O9" i="98"/>
  <c r="N9" i="98"/>
  <c r="M9" i="98"/>
  <c r="L9" i="98"/>
  <c r="K9" i="98"/>
  <c r="J9" i="98"/>
  <c r="I9" i="98"/>
  <c r="H9" i="98"/>
  <c r="G9" i="98"/>
  <c r="F9" i="98"/>
  <c r="E9" i="98"/>
  <c r="D9" i="98"/>
  <c r="C9" i="98"/>
  <c r="O25" i="62"/>
  <c r="N21" i="62"/>
  <c r="N23" i="62" s="1"/>
  <c r="N26" i="62" s="1"/>
  <c r="M21" i="62"/>
  <c r="L21" i="62"/>
  <c r="L23" i="62" s="1"/>
  <c r="L26" i="62" s="1"/>
  <c r="K21" i="62"/>
  <c r="K23" i="62" s="1"/>
  <c r="K26" i="62" s="1"/>
  <c r="J21" i="62"/>
  <c r="J23" i="62" s="1"/>
  <c r="J26" i="62" s="1"/>
  <c r="I21" i="62"/>
  <c r="H21" i="62"/>
  <c r="H23" i="62" s="1"/>
  <c r="H26" i="62" s="1"/>
  <c r="G21" i="62"/>
  <c r="G23" i="62" s="1"/>
  <c r="G26" i="62" s="1"/>
  <c r="F21" i="62"/>
  <c r="F23" i="62" s="1"/>
  <c r="F26" i="62" s="1"/>
  <c r="E21" i="62"/>
  <c r="D21" i="62"/>
  <c r="D23" i="62" s="1"/>
  <c r="D26" i="62" s="1"/>
  <c r="C21" i="62"/>
  <c r="C23" i="62" s="1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O25" i="68"/>
  <c r="I23" i="68"/>
  <c r="I26" i="68" s="1"/>
  <c r="E23" i="68"/>
  <c r="E26" i="68" s="1"/>
  <c r="N21" i="68"/>
  <c r="N23" i="68" s="1"/>
  <c r="N26" i="68" s="1"/>
  <c r="M21" i="68"/>
  <c r="L21" i="68"/>
  <c r="L23" i="68" s="1"/>
  <c r="L26" i="68" s="1"/>
  <c r="K21" i="68"/>
  <c r="K23" i="68" s="1"/>
  <c r="K26" i="68" s="1"/>
  <c r="J21" i="68"/>
  <c r="I21" i="68"/>
  <c r="I28" i="68" s="1"/>
  <c r="H21" i="68"/>
  <c r="H23" i="68" s="1"/>
  <c r="H26" i="68" s="1"/>
  <c r="G21" i="68"/>
  <c r="G23" i="68" s="1"/>
  <c r="G26" i="68" s="1"/>
  <c r="F21" i="68"/>
  <c r="F23" i="68" s="1"/>
  <c r="F26" i="68" s="1"/>
  <c r="E21" i="68"/>
  <c r="D21" i="68"/>
  <c r="D23" i="68" s="1"/>
  <c r="D26" i="68" s="1"/>
  <c r="C21" i="68"/>
  <c r="C23" i="68" s="1"/>
  <c r="O9" i="68"/>
  <c r="N9" i="68"/>
  <c r="M9" i="68"/>
  <c r="L9" i="68"/>
  <c r="K9" i="68"/>
  <c r="J9" i="68"/>
  <c r="I9" i="68"/>
  <c r="H9" i="68"/>
  <c r="G9" i="68"/>
  <c r="F9" i="68"/>
  <c r="E9" i="68"/>
  <c r="D9" i="68"/>
  <c r="C9" i="68"/>
  <c r="O25" i="103"/>
  <c r="M23" i="103"/>
  <c r="M26" i="103" s="1"/>
  <c r="I23" i="103"/>
  <c r="I26" i="103" s="1"/>
  <c r="E23" i="103"/>
  <c r="E26" i="103" s="1"/>
  <c r="O21" i="103"/>
  <c r="N21" i="103"/>
  <c r="N23" i="103" s="1"/>
  <c r="N26" i="103" s="1"/>
  <c r="N28" i="103" s="1"/>
  <c r="M21" i="103"/>
  <c r="M28" i="103" s="1"/>
  <c r="L21" i="103"/>
  <c r="L23" i="103" s="1"/>
  <c r="L26" i="103" s="1"/>
  <c r="K21" i="103"/>
  <c r="K23" i="103" s="1"/>
  <c r="K26" i="103" s="1"/>
  <c r="J21" i="103"/>
  <c r="J23" i="103" s="1"/>
  <c r="J26" i="103" s="1"/>
  <c r="I21" i="103"/>
  <c r="I28" i="103" s="1"/>
  <c r="H21" i="103"/>
  <c r="H23" i="103" s="1"/>
  <c r="H26" i="103" s="1"/>
  <c r="G21" i="103"/>
  <c r="F21" i="103"/>
  <c r="E21" i="103"/>
  <c r="D21" i="103"/>
  <c r="D23" i="103" s="1"/>
  <c r="D26" i="103" s="1"/>
  <c r="C21" i="103"/>
  <c r="C23" i="103" s="1"/>
  <c r="O9" i="103"/>
  <c r="N9" i="103"/>
  <c r="M9" i="103"/>
  <c r="L9" i="103"/>
  <c r="K9" i="103"/>
  <c r="J9" i="103"/>
  <c r="I9" i="103"/>
  <c r="H9" i="103"/>
  <c r="G9" i="103"/>
  <c r="F9" i="103"/>
  <c r="E9" i="103"/>
  <c r="D9" i="103"/>
  <c r="C9" i="103"/>
  <c r="O25" i="65"/>
  <c r="I23" i="65"/>
  <c r="I26" i="65" s="1"/>
  <c r="F23" i="65"/>
  <c r="F26" i="65" s="1"/>
  <c r="E23" i="65"/>
  <c r="E26" i="65" s="1"/>
  <c r="N21" i="65"/>
  <c r="N23" i="65" s="1"/>
  <c r="N26" i="65" s="1"/>
  <c r="N28" i="65" s="1"/>
  <c r="M21" i="65"/>
  <c r="L21" i="65"/>
  <c r="L23" i="65" s="1"/>
  <c r="L26" i="65" s="1"/>
  <c r="K21" i="65"/>
  <c r="J21" i="65"/>
  <c r="I21" i="65"/>
  <c r="I28" i="65" s="1"/>
  <c r="H21" i="65"/>
  <c r="H23" i="65" s="1"/>
  <c r="H26" i="65" s="1"/>
  <c r="G21" i="65"/>
  <c r="F21" i="65"/>
  <c r="F28" i="65" s="1"/>
  <c r="E21" i="65"/>
  <c r="E28" i="65" s="1"/>
  <c r="D21" i="65"/>
  <c r="D23" i="65" s="1"/>
  <c r="D26" i="65" s="1"/>
  <c r="C21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O25" i="52"/>
  <c r="N21" i="52"/>
  <c r="N23" i="52" s="1"/>
  <c r="N26" i="52" s="1"/>
  <c r="M21" i="52"/>
  <c r="L21" i="52"/>
  <c r="L23" i="52" s="1"/>
  <c r="L26" i="52" s="1"/>
  <c r="K21" i="52"/>
  <c r="K23" i="52" s="1"/>
  <c r="K26" i="52" s="1"/>
  <c r="J21" i="52"/>
  <c r="J23" i="52" s="1"/>
  <c r="J26" i="52" s="1"/>
  <c r="I21" i="52"/>
  <c r="H21" i="52"/>
  <c r="H23" i="52" s="1"/>
  <c r="H26" i="52" s="1"/>
  <c r="G21" i="52"/>
  <c r="G23" i="52" s="1"/>
  <c r="G26" i="52" s="1"/>
  <c r="F21" i="52"/>
  <c r="F23" i="52" s="1"/>
  <c r="F26" i="52" s="1"/>
  <c r="E21" i="52"/>
  <c r="D21" i="52"/>
  <c r="D23" i="52" s="1"/>
  <c r="D26" i="52" s="1"/>
  <c r="C21" i="52"/>
  <c r="C23" i="52" s="1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O25" i="50"/>
  <c r="I23" i="50"/>
  <c r="I26" i="50" s="1"/>
  <c r="E23" i="50"/>
  <c r="E26" i="50" s="1"/>
  <c r="N21" i="50"/>
  <c r="N23" i="50" s="1"/>
  <c r="N26" i="50" s="1"/>
  <c r="M21" i="50"/>
  <c r="M23" i="50" s="1"/>
  <c r="M26" i="50" s="1"/>
  <c r="L21" i="50"/>
  <c r="L23" i="50" s="1"/>
  <c r="L26" i="50" s="1"/>
  <c r="K21" i="50"/>
  <c r="J21" i="50"/>
  <c r="J23" i="50" s="1"/>
  <c r="J26" i="50" s="1"/>
  <c r="I21" i="50"/>
  <c r="I28" i="50" s="1"/>
  <c r="H21" i="50"/>
  <c r="H23" i="50" s="1"/>
  <c r="H26" i="50" s="1"/>
  <c r="G21" i="50"/>
  <c r="F21" i="50"/>
  <c r="F23" i="50" s="1"/>
  <c r="F26" i="50" s="1"/>
  <c r="E21" i="50"/>
  <c r="D21" i="50"/>
  <c r="D23" i="50" s="1"/>
  <c r="D26" i="50" s="1"/>
  <c r="C21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O25" i="79"/>
  <c r="I23" i="79"/>
  <c r="I26" i="79" s="1"/>
  <c r="H23" i="79"/>
  <c r="H26" i="79" s="1"/>
  <c r="E23" i="79"/>
  <c r="E26" i="79" s="1"/>
  <c r="D23" i="79"/>
  <c r="D26" i="79" s="1"/>
  <c r="N21" i="79"/>
  <c r="N23" i="79" s="1"/>
  <c r="N26" i="79" s="1"/>
  <c r="M21" i="79"/>
  <c r="M23" i="79" s="1"/>
  <c r="M26" i="79" s="1"/>
  <c r="L21" i="79"/>
  <c r="L23" i="79" s="1"/>
  <c r="L26" i="79" s="1"/>
  <c r="K21" i="79"/>
  <c r="K23" i="79" s="1"/>
  <c r="K26" i="79" s="1"/>
  <c r="J21" i="79"/>
  <c r="I21" i="79"/>
  <c r="H21" i="79"/>
  <c r="H28" i="79" s="1"/>
  <c r="G21" i="79"/>
  <c r="G23" i="79" s="1"/>
  <c r="G26" i="79" s="1"/>
  <c r="F21" i="79"/>
  <c r="E21" i="79"/>
  <c r="E28" i="79" s="1"/>
  <c r="D21" i="79"/>
  <c r="D28" i="79" s="1"/>
  <c r="C21" i="79"/>
  <c r="C23" i="79" s="1"/>
  <c r="O9" i="79"/>
  <c r="N9" i="79"/>
  <c r="M9" i="79"/>
  <c r="L9" i="79"/>
  <c r="K9" i="79"/>
  <c r="J9" i="79"/>
  <c r="I9" i="79"/>
  <c r="H9" i="79"/>
  <c r="G9" i="79"/>
  <c r="F9" i="79"/>
  <c r="E9" i="79"/>
  <c r="D9" i="79"/>
  <c r="C9" i="79"/>
  <c r="G26" i="70"/>
  <c r="C26" i="70"/>
  <c r="O25" i="70"/>
  <c r="H23" i="70"/>
  <c r="H26" i="70" s="1"/>
  <c r="G23" i="70"/>
  <c r="D23" i="70"/>
  <c r="D26" i="70" s="1"/>
  <c r="C23" i="70"/>
  <c r="N21" i="70"/>
  <c r="M21" i="70"/>
  <c r="M23" i="70" s="1"/>
  <c r="M26" i="70" s="1"/>
  <c r="L21" i="70"/>
  <c r="K21" i="70"/>
  <c r="J21" i="70"/>
  <c r="I21" i="70"/>
  <c r="I23" i="70" s="1"/>
  <c r="I26" i="70" s="1"/>
  <c r="H21" i="70"/>
  <c r="G21" i="70"/>
  <c r="G28" i="70" s="1"/>
  <c r="F21" i="70"/>
  <c r="F23" i="70" s="1"/>
  <c r="F26" i="70" s="1"/>
  <c r="E21" i="70"/>
  <c r="E23" i="70" s="1"/>
  <c r="E26" i="70" s="1"/>
  <c r="D21" i="70"/>
  <c r="D28" i="70" s="1"/>
  <c r="C21" i="70"/>
  <c r="C28" i="70" s="1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O25" i="51"/>
  <c r="N21" i="51"/>
  <c r="N23" i="51" s="1"/>
  <c r="N26" i="51" s="1"/>
  <c r="M21" i="51"/>
  <c r="L21" i="51"/>
  <c r="L23" i="51" s="1"/>
  <c r="L26" i="51" s="1"/>
  <c r="K21" i="51"/>
  <c r="K23" i="51" s="1"/>
  <c r="K26" i="51" s="1"/>
  <c r="J21" i="51"/>
  <c r="J23" i="51" s="1"/>
  <c r="J26" i="51" s="1"/>
  <c r="I21" i="51"/>
  <c r="H21" i="51"/>
  <c r="H23" i="51" s="1"/>
  <c r="H26" i="51" s="1"/>
  <c r="G21" i="51"/>
  <c r="G23" i="51" s="1"/>
  <c r="G26" i="51" s="1"/>
  <c r="F21" i="51"/>
  <c r="F23" i="51" s="1"/>
  <c r="F26" i="51" s="1"/>
  <c r="E21" i="51"/>
  <c r="D21" i="51"/>
  <c r="D23" i="51" s="1"/>
  <c r="D26" i="51" s="1"/>
  <c r="C21" i="51"/>
  <c r="C23" i="51" s="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G26" i="87"/>
  <c r="C26" i="87"/>
  <c r="O25" i="87"/>
  <c r="I23" i="87"/>
  <c r="I26" i="87" s="1"/>
  <c r="G23" i="87"/>
  <c r="E23" i="87"/>
  <c r="E26" i="87" s="1"/>
  <c r="C23" i="87"/>
  <c r="N21" i="87"/>
  <c r="N23" i="87" s="1"/>
  <c r="N26" i="87" s="1"/>
  <c r="M21" i="87"/>
  <c r="L21" i="87"/>
  <c r="L23" i="87" s="1"/>
  <c r="L26" i="87" s="1"/>
  <c r="K21" i="87"/>
  <c r="J21" i="87"/>
  <c r="J23" i="87" s="1"/>
  <c r="J26" i="87" s="1"/>
  <c r="I21" i="87"/>
  <c r="H21" i="87"/>
  <c r="H23" i="87" s="1"/>
  <c r="H26" i="87" s="1"/>
  <c r="G21" i="87"/>
  <c r="G28" i="87" s="1"/>
  <c r="F21" i="87"/>
  <c r="F23" i="87" s="1"/>
  <c r="F26" i="87" s="1"/>
  <c r="E21" i="87"/>
  <c r="E28" i="87" s="1"/>
  <c r="D21" i="87"/>
  <c r="D23" i="87" s="1"/>
  <c r="D26" i="87" s="1"/>
  <c r="C21" i="87"/>
  <c r="C28" i="87" s="1"/>
  <c r="O9" i="87"/>
  <c r="N9" i="87"/>
  <c r="M9" i="87"/>
  <c r="L9" i="87"/>
  <c r="K9" i="87"/>
  <c r="J9" i="87"/>
  <c r="I9" i="87"/>
  <c r="H9" i="87"/>
  <c r="G9" i="87"/>
  <c r="F9" i="87"/>
  <c r="E9" i="87"/>
  <c r="D9" i="87"/>
  <c r="C9" i="87"/>
  <c r="O25" i="138"/>
  <c r="N21" i="138"/>
  <c r="N23" i="138" s="1"/>
  <c r="N26" i="138" s="1"/>
  <c r="M21" i="138"/>
  <c r="L21" i="138"/>
  <c r="L23" i="138" s="1"/>
  <c r="L26" i="138" s="1"/>
  <c r="K21" i="138"/>
  <c r="K23" i="138" s="1"/>
  <c r="K26" i="138" s="1"/>
  <c r="J21" i="138"/>
  <c r="J23" i="138" s="1"/>
  <c r="J26" i="138" s="1"/>
  <c r="I21" i="138"/>
  <c r="H21" i="138"/>
  <c r="H23" i="138" s="1"/>
  <c r="H26" i="138" s="1"/>
  <c r="G21" i="138"/>
  <c r="G23" i="138" s="1"/>
  <c r="G26" i="138" s="1"/>
  <c r="F21" i="138"/>
  <c r="F23" i="138" s="1"/>
  <c r="F26" i="138" s="1"/>
  <c r="E21" i="138"/>
  <c r="D21" i="138"/>
  <c r="D23" i="138" s="1"/>
  <c r="D26" i="138" s="1"/>
  <c r="C21" i="138"/>
  <c r="C23" i="138" s="1"/>
  <c r="O9" i="138"/>
  <c r="N9" i="138"/>
  <c r="M9" i="138"/>
  <c r="L9" i="138"/>
  <c r="K9" i="138"/>
  <c r="J9" i="138"/>
  <c r="I9" i="138"/>
  <c r="H9" i="138"/>
  <c r="G9" i="138"/>
  <c r="F9" i="138"/>
  <c r="E9" i="138"/>
  <c r="D9" i="138"/>
  <c r="C9" i="138"/>
  <c r="O25" i="58"/>
  <c r="M23" i="58"/>
  <c r="M26" i="58" s="1"/>
  <c r="I23" i="58"/>
  <c r="I26" i="58" s="1"/>
  <c r="E23" i="58"/>
  <c r="E26" i="58" s="1"/>
  <c r="N21" i="58"/>
  <c r="N23" i="58" s="1"/>
  <c r="N26" i="58" s="1"/>
  <c r="M21" i="58"/>
  <c r="M28" i="58" s="1"/>
  <c r="L21" i="58"/>
  <c r="L23" i="58" s="1"/>
  <c r="L26" i="58" s="1"/>
  <c r="K21" i="58"/>
  <c r="K23" i="58" s="1"/>
  <c r="K26" i="58" s="1"/>
  <c r="J21" i="58"/>
  <c r="J23" i="58" s="1"/>
  <c r="J26" i="58" s="1"/>
  <c r="I21" i="58"/>
  <c r="I28" i="58" s="1"/>
  <c r="H21" i="58"/>
  <c r="H23" i="58" s="1"/>
  <c r="H26" i="58" s="1"/>
  <c r="G21" i="58"/>
  <c r="F21" i="58"/>
  <c r="F23" i="58" s="1"/>
  <c r="F26" i="58" s="1"/>
  <c r="E21" i="58"/>
  <c r="D21" i="58"/>
  <c r="D23" i="58" s="1"/>
  <c r="D26" i="58" s="1"/>
  <c r="C21" i="58"/>
  <c r="C23" i="58" s="1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O25" i="72"/>
  <c r="I23" i="72"/>
  <c r="I26" i="72" s="1"/>
  <c r="E23" i="72"/>
  <c r="E26" i="72" s="1"/>
  <c r="N21" i="72"/>
  <c r="N23" i="72" s="1"/>
  <c r="N26" i="72" s="1"/>
  <c r="M21" i="72"/>
  <c r="M23" i="72" s="1"/>
  <c r="M26" i="72" s="1"/>
  <c r="L21" i="72"/>
  <c r="L23" i="72" s="1"/>
  <c r="L26" i="72" s="1"/>
  <c r="K21" i="72"/>
  <c r="K23" i="72" s="1"/>
  <c r="K26" i="72" s="1"/>
  <c r="J21" i="72"/>
  <c r="I21" i="72"/>
  <c r="I28" i="72" s="1"/>
  <c r="H21" i="72"/>
  <c r="H23" i="72" s="1"/>
  <c r="H26" i="72" s="1"/>
  <c r="G21" i="72"/>
  <c r="G23" i="72" s="1"/>
  <c r="G26" i="72" s="1"/>
  <c r="F21" i="72"/>
  <c r="F23" i="72" s="1"/>
  <c r="F26" i="72" s="1"/>
  <c r="E21" i="72"/>
  <c r="D21" i="72"/>
  <c r="D23" i="72" s="1"/>
  <c r="D26" i="72" s="1"/>
  <c r="C21" i="72"/>
  <c r="C23" i="72" s="1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O25" i="47"/>
  <c r="I23" i="47"/>
  <c r="I26" i="47" s="1"/>
  <c r="E23" i="47"/>
  <c r="E26" i="47" s="1"/>
  <c r="N21" i="47"/>
  <c r="N23" i="47" s="1"/>
  <c r="N26" i="47" s="1"/>
  <c r="M21" i="47"/>
  <c r="L21" i="47"/>
  <c r="L23" i="47" s="1"/>
  <c r="L26" i="47" s="1"/>
  <c r="K21" i="47"/>
  <c r="K23" i="47" s="1"/>
  <c r="K26" i="47" s="1"/>
  <c r="J21" i="47"/>
  <c r="I21" i="47"/>
  <c r="I28" i="47" s="1"/>
  <c r="H21" i="47"/>
  <c r="H23" i="47" s="1"/>
  <c r="H26" i="47" s="1"/>
  <c r="G21" i="47"/>
  <c r="G23" i="47" s="1"/>
  <c r="G26" i="47" s="1"/>
  <c r="F21" i="47"/>
  <c r="F23" i="47" s="1"/>
  <c r="F26" i="47" s="1"/>
  <c r="E21" i="47"/>
  <c r="D21" i="47"/>
  <c r="D23" i="47" s="1"/>
  <c r="D26" i="47" s="1"/>
  <c r="C21" i="47"/>
  <c r="C23" i="47" s="1"/>
  <c r="G26" i="71"/>
  <c r="C26" i="71"/>
  <c r="O25" i="71"/>
  <c r="M23" i="71"/>
  <c r="M26" i="71" s="1"/>
  <c r="I23" i="71"/>
  <c r="I26" i="71" s="1"/>
  <c r="G23" i="71"/>
  <c r="E23" i="71"/>
  <c r="E26" i="71" s="1"/>
  <c r="C23" i="71"/>
  <c r="N21" i="71"/>
  <c r="N23" i="71" s="1"/>
  <c r="N26" i="71" s="1"/>
  <c r="M21" i="71"/>
  <c r="L21" i="71"/>
  <c r="L23" i="71" s="1"/>
  <c r="L26" i="71" s="1"/>
  <c r="K21" i="71"/>
  <c r="J21" i="71"/>
  <c r="J23" i="71" s="1"/>
  <c r="J26" i="71" s="1"/>
  <c r="I21" i="71"/>
  <c r="H21" i="71"/>
  <c r="H23" i="71" s="1"/>
  <c r="H26" i="71" s="1"/>
  <c r="G21" i="71"/>
  <c r="G28" i="71" s="1"/>
  <c r="F21" i="71"/>
  <c r="E21" i="71"/>
  <c r="E28" i="71" s="1"/>
  <c r="D21" i="71"/>
  <c r="D23" i="71" s="1"/>
  <c r="D26" i="71" s="1"/>
  <c r="C21" i="71"/>
  <c r="C28" i="71" s="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O25" i="53"/>
  <c r="I23" i="53"/>
  <c r="I26" i="53" s="1"/>
  <c r="E23" i="53"/>
  <c r="E26" i="53" s="1"/>
  <c r="N21" i="53"/>
  <c r="M21" i="53"/>
  <c r="L21" i="53"/>
  <c r="L23" i="53" s="1"/>
  <c r="L26" i="53" s="1"/>
  <c r="K21" i="53"/>
  <c r="K23" i="53" s="1"/>
  <c r="K26" i="53" s="1"/>
  <c r="J21" i="53"/>
  <c r="J23" i="53" s="1"/>
  <c r="J26" i="53" s="1"/>
  <c r="I21" i="53"/>
  <c r="I28" i="53" s="1"/>
  <c r="H21" i="53"/>
  <c r="H23" i="53" s="1"/>
  <c r="H26" i="53" s="1"/>
  <c r="G21" i="53"/>
  <c r="G23" i="53" s="1"/>
  <c r="G26" i="53" s="1"/>
  <c r="F21" i="53"/>
  <c r="E21" i="53"/>
  <c r="D21" i="53"/>
  <c r="D23" i="53" s="1"/>
  <c r="D26" i="53" s="1"/>
  <c r="C21" i="53"/>
  <c r="C23" i="53" s="1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O25" i="64"/>
  <c r="H23" i="64"/>
  <c r="H26" i="64" s="1"/>
  <c r="D23" i="64"/>
  <c r="D26" i="64" s="1"/>
  <c r="N21" i="64"/>
  <c r="N23" i="64" s="1"/>
  <c r="N26" i="64" s="1"/>
  <c r="M21" i="64"/>
  <c r="L21" i="64"/>
  <c r="L23" i="64" s="1"/>
  <c r="L26" i="64" s="1"/>
  <c r="K21" i="64"/>
  <c r="K23" i="64" s="1"/>
  <c r="K26" i="64" s="1"/>
  <c r="J21" i="64"/>
  <c r="J23" i="64" s="1"/>
  <c r="J26" i="64" s="1"/>
  <c r="I21" i="64"/>
  <c r="H21" i="64"/>
  <c r="H28" i="64" s="1"/>
  <c r="G21" i="64"/>
  <c r="G23" i="64" s="1"/>
  <c r="G26" i="64" s="1"/>
  <c r="F21" i="64"/>
  <c r="F23" i="64" s="1"/>
  <c r="F26" i="64" s="1"/>
  <c r="E21" i="64"/>
  <c r="E23" i="64" s="1"/>
  <c r="E26" i="64" s="1"/>
  <c r="D21" i="64"/>
  <c r="D28" i="64" s="1"/>
  <c r="C21" i="64"/>
  <c r="C23" i="64" s="1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O25" i="49"/>
  <c r="I23" i="49"/>
  <c r="I26" i="49" s="1"/>
  <c r="H23" i="49"/>
  <c r="H26" i="49" s="1"/>
  <c r="E23" i="49"/>
  <c r="E26" i="49" s="1"/>
  <c r="D23" i="49"/>
  <c r="D26" i="49" s="1"/>
  <c r="N21" i="49"/>
  <c r="M21" i="49"/>
  <c r="L21" i="49"/>
  <c r="L23" i="49" s="1"/>
  <c r="L26" i="49" s="1"/>
  <c r="K21" i="49"/>
  <c r="K23" i="49" s="1"/>
  <c r="K26" i="49" s="1"/>
  <c r="J21" i="49"/>
  <c r="I21" i="49"/>
  <c r="H21" i="49"/>
  <c r="H28" i="49" s="1"/>
  <c r="G21" i="49"/>
  <c r="G23" i="49" s="1"/>
  <c r="G26" i="49" s="1"/>
  <c r="F21" i="49"/>
  <c r="E21" i="49"/>
  <c r="E28" i="49" s="1"/>
  <c r="D21" i="49"/>
  <c r="D28" i="49" s="1"/>
  <c r="C21" i="49"/>
  <c r="C23" i="49" s="1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L23" i="139" l="1"/>
  <c r="L26" i="139" s="1"/>
  <c r="AG92" i="29"/>
  <c r="K23" i="132"/>
  <c r="K26" i="132" s="1"/>
  <c r="K28" i="132" s="1"/>
  <c r="M23" i="132"/>
  <c r="M26" i="132" s="1"/>
  <c r="M28" i="132" s="1"/>
  <c r="M23" i="128"/>
  <c r="M26" i="128" s="1"/>
  <c r="M28" i="128" s="1"/>
  <c r="M28" i="127"/>
  <c r="M23" i="90"/>
  <c r="M26" i="90" s="1"/>
  <c r="M28" i="90" s="1"/>
  <c r="L28" i="106"/>
  <c r="M28" i="106"/>
  <c r="K28" i="57"/>
  <c r="M28" i="69"/>
  <c r="K23" i="69"/>
  <c r="K26" i="69" s="1"/>
  <c r="K28" i="69" s="1"/>
  <c r="L23" i="76"/>
  <c r="L26" i="76" s="1"/>
  <c r="L28" i="76" s="1"/>
  <c r="M23" i="76"/>
  <c r="M26" i="76" s="1"/>
  <c r="M28" i="76" s="1"/>
  <c r="M23" i="98"/>
  <c r="M26" i="98" s="1"/>
  <c r="M28" i="98" s="1"/>
  <c r="M23" i="68"/>
  <c r="M26" i="68" s="1"/>
  <c r="M28" i="68" s="1"/>
  <c r="M23" i="65"/>
  <c r="M26" i="65" s="1"/>
  <c r="M28" i="65" s="1"/>
  <c r="M28" i="50"/>
  <c r="M28" i="79"/>
  <c r="L28" i="79"/>
  <c r="K23" i="70"/>
  <c r="K26" i="70" s="1"/>
  <c r="K28" i="70" s="1"/>
  <c r="L23" i="70"/>
  <c r="L26" i="70" s="1"/>
  <c r="L28" i="70" s="1"/>
  <c r="K23" i="87"/>
  <c r="K26" i="87" s="1"/>
  <c r="K28" i="87" s="1"/>
  <c r="M23" i="87"/>
  <c r="M26" i="87" s="1"/>
  <c r="M28" i="87" s="1"/>
  <c r="M28" i="72"/>
  <c r="M23" i="47"/>
  <c r="M26" i="47" s="1"/>
  <c r="M28" i="47" s="1"/>
  <c r="M28" i="71"/>
  <c r="K23" i="71"/>
  <c r="K26" i="71" s="1"/>
  <c r="K28" i="71" s="1"/>
  <c r="M23" i="53"/>
  <c r="M26" i="53" s="1"/>
  <c r="M28" i="53" s="1"/>
  <c r="L28" i="64"/>
  <c r="M23" i="49"/>
  <c r="M26" i="49" s="1"/>
  <c r="M28" i="49" s="1"/>
  <c r="L28" i="49"/>
  <c r="E28" i="150"/>
  <c r="C26" i="150"/>
  <c r="C28" i="150" s="1"/>
  <c r="F28" i="150"/>
  <c r="J23" i="150"/>
  <c r="J26" i="150" s="1"/>
  <c r="J28" i="150" s="1"/>
  <c r="G28" i="150"/>
  <c r="D28" i="150"/>
  <c r="H28" i="150"/>
  <c r="C26" i="149"/>
  <c r="E23" i="149"/>
  <c r="E26" i="149" s="1"/>
  <c r="E28" i="149" s="1"/>
  <c r="I23" i="149"/>
  <c r="I26" i="149" s="1"/>
  <c r="I28" i="149" s="1"/>
  <c r="F28" i="149"/>
  <c r="J28" i="149"/>
  <c r="C28" i="149"/>
  <c r="G28" i="149"/>
  <c r="D28" i="149"/>
  <c r="H28" i="149"/>
  <c r="E28" i="145"/>
  <c r="C26" i="145"/>
  <c r="C28" i="145" s="1"/>
  <c r="F23" i="145"/>
  <c r="F26" i="145" s="1"/>
  <c r="F28" i="145" s="1"/>
  <c r="J23" i="145"/>
  <c r="J26" i="145" s="1"/>
  <c r="J28" i="145" s="1"/>
  <c r="N23" i="145"/>
  <c r="N26" i="145" s="1"/>
  <c r="N28" i="145" s="1"/>
  <c r="G28" i="145"/>
  <c r="K28" i="145"/>
  <c r="D28" i="145"/>
  <c r="H28" i="145"/>
  <c r="L28" i="145"/>
  <c r="E28" i="146"/>
  <c r="I28" i="146"/>
  <c r="N28" i="146"/>
  <c r="C26" i="146"/>
  <c r="C28" i="146" s="1"/>
  <c r="J28" i="146"/>
  <c r="F23" i="146"/>
  <c r="F26" i="146" s="1"/>
  <c r="F28" i="146" s="1"/>
  <c r="N23" i="146"/>
  <c r="N26" i="146" s="1"/>
  <c r="G28" i="146"/>
  <c r="K28" i="146"/>
  <c r="D28" i="146"/>
  <c r="H28" i="146"/>
  <c r="L28" i="146"/>
  <c r="E28" i="144"/>
  <c r="G28" i="144"/>
  <c r="J28" i="144"/>
  <c r="F23" i="144"/>
  <c r="F26" i="144" s="1"/>
  <c r="F28" i="144" s="1"/>
  <c r="C23" i="144"/>
  <c r="G23" i="144"/>
  <c r="G26" i="144" s="1"/>
  <c r="D28" i="144"/>
  <c r="H28" i="144"/>
  <c r="E28" i="148"/>
  <c r="N28" i="148"/>
  <c r="O26" i="148"/>
  <c r="O28" i="148" s="1"/>
  <c r="O30" i="148" s="1"/>
  <c r="C26" i="148"/>
  <c r="J28" i="148"/>
  <c r="F23" i="148"/>
  <c r="F26" i="148" s="1"/>
  <c r="F28" i="148" s="1"/>
  <c r="N23" i="148"/>
  <c r="N26" i="148" s="1"/>
  <c r="C28" i="148"/>
  <c r="G28" i="148"/>
  <c r="K28" i="148"/>
  <c r="D28" i="148"/>
  <c r="H28" i="148"/>
  <c r="L28" i="148"/>
  <c r="F28" i="147"/>
  <c r="G30" i="147" s="1"/>
  <c r="D30" i="147"/>
  <c r="C30" i="147"/>
  <c r="I28" i="147"/>
  <c r="F23" i="147"/>
  <c r="F26" i="147" s="1"/>
  <c r="J23" i="147"/>
  <c r="J26" i="147" s="1"/>
  <c r="J28" i="147" s="1"/>
  <c r="D28" i="147"/>
  <c r="H28" i="147"/>
  <c r="I28" i="142"/>
  <c r="F28" i="142"/>
  <c r="G28" i="142"/>
  <c r="C23" i="142"/>
  <c r="J28" i="142"/>
  <c r="E28" i="141"/>
  <c r="C26" i="141"/>
  <c r="F28" i="141"/>
  <c r="J23" i="141"/>
  <c r="J26" i="141" s="1"/>
  <c r="J28" i="141" s="1"/>
  <c r="C28" i="141"/>
  <c r="G28" i="141"/>
  <c r="D28" i="141"/>
  <c r="H28" i="141"/>
  <c r="E28" i="140"/>
  <c r="C26" i="140"/>
  <c r="C28" i="140" s="1"/>
  <c r="O26" i="140"/>
  <c r="O28" i="140" s="1"/>
  <c r="O30" i="140" s="1"/>
  <c r="F28" i="140"/>
  <c r="N23" i="140"/>
  <c r="N26" i="140" s="1"/>
  <c r="N28" i="140" s="1"/>
  <c r="K28" i="140"/>
  <c r="G23" i="140"/>
  <c r="G26" i="140" s="1"/>
  <c r="G28" i="140" s="1"/>
  <c r="D28" i="140"/>
  <c r="H28" i="140"/>
  <c r="L28" i="140"/>
  <c r="J28" i="140"/>
  <c r="E28" i="139"/>
  <c r="C26" i="139"/>
  <c r="C28" i="139" s="1"/>
  <c r="J28" i="139"/>
  <c r="F23" i="139"/>
  <c r="F26" i="139" s="1"/>
  <c r="F28" i="139" s="1"/>
  <c r="N23" i="139"/>
  <c r="N26" i="139" s="1"/>
  <c r="N28" i="139" s="1"/>
  <c r="G28" i="139"/>
  <c r="K28" i="139"/>
  <c r="D28" i="139"/>
  <c r="H28" i="139"/>
  <c r="L28" i="139"/>
  <c r="E28" i="137"/>
  <c r="C26" i="137"/>
  <c r="N28" i="137"/>
  <c r="F23" i="137"/>
  <c r="F26" i="137" s="1"/>
  <c r="F28" i="137" s="1"/>
  <c r="J23" i="137"/>
  <c r="J26" i="137" s="1"/>
  <c r="J28" i="137" s="1"/>
  <c r="C28" i="137"/>
  <c r="G28" i="137"/>
  <c r="K28" i="137"/>
  <c r="D28" i="137"/>
  <c r="H28" i="137"/>
  <c r="L28" i="137"/>
  <c r="J28" i="135"/>
  <c r="C26" i="135"/>
  <c r="I28" i="135"/>
  <c r="F28" i="135"/>
  <c r="N28" i="135"/>
  <c r="J23" i="135"/>
  <c r="J26" i="135" s="1"/>
  <c r="C28" i="135"/>
  <c r="G28" i="135"/>
  <c r="K28" i="135"/>
  <c r="E28" i="134"/>
  <c r="K28" i="134"/>
  <c r="J28" i="134"/>
  <c r="N28" i="134"/>
  <c r="F23" i="134"/>
  <c r="F26" i="134" s="1"/>
  <c r="F28" i="134" s="1"/>
  <c r="G28" i="134"/>
  <c r="C23" i="134"/>
  <c r="K23" i="134"/>
  <c r="K26" i="134" s="1"/>
  <c r="D28" i="134"/>
  <c r="H28" i="134"/>
  <c r="L28" i="134"/>
  <c r="F28" i="132"/>
  <c r="C30" i="132"/>
  <c r="I28" i="132"/>
  <c r="F23" i="132"/>
  <c r="F26" i="132" s="1"/>
  <c r="J23" i="132"/>
  <c r="J26" i="132" s="1"/>
  <c r="J28" i="132" s="1"/>
  <c r="N23" i="132"/>
  <c r="N26" i="132" s="1"/>
  <c r="N28" i="132" s="1"/>
  <c r="D28" i="132"/>
  <c r="I30" i="132" s="1"/>
  <c r="H28" i="132"/>
  <c r="L28" i="132"/>
  <c r="E28" i="130"/>
  <c r="N28" i="130"/>
  <c r="O26" i="130"/>
  <c r="O28" i="130" s="1"/>
  <c r="O30" i="130" s="1"/>
  <c r="C26" i="130"/>
  <c r="J28" i="130"/>
  <c r="F23" i="130"/>
  <c r="F26" i="130" s="1"/>
  <c r="F28" i="130" s="1"/>
  <c r="N23" i="130"/>
  <c r="N26" i="130" s="1"/>
  <c r="C28" i="130"/>
  <c r="G28" i="130"/>
  <c r="K28" i="130"/>
  <c r="D28" i="130"/>
  <c r="H28" i="130"/>
  <c r="L28" i="130"/>
  <c r="E28" i="129"/>
  <c r="O26" i="129"/>
  <c r="O28" i="129" s="1"/>
  <c r="O30" i="129" s="1"/>
  <c r="C26" i="129"/>
  <c r="C28" i="129" s="1"/>
  <c r="J28" i="129"/>
  <c r="F23" i="129"/>
  <c r="F26" i="129" s="1"/>
  <c r="F28" i="129" s="1"/>
  <c r="N23" i="129"/>
  <c r="N26" i="129" s="1"/>
  <c r="N28" i="129" s="1"/>
  <c r="G28" i="129"/>
  <c r="K28" i="129"/>
  <c r="D28" i="129"/>
  <c r="H28" i="129"/>
  <c r="L28" i="129"/>
  <c r="E28" i="128"/>
  <c r="F28" i="128"/>
  <c r="N28" i="128"/>
  <c r="G28" i="128"/>
  <c r="C23" i="128"/>
  <c r="K23" i="128"/>
  <c r="K26" i="128" s="1"/>
  <c r="K28" i="128" s="1"/>
  <c r="D28" i="128"/>
  <c r="H28" i="128"/>
  <c r="L28" i="128"/>
  <c r="J28" i="128"/>
  <c r="E28" i="127"/>
  <c r="F28" i="127"/>
  <c r="N28" i="127"/>
  <c r="J23" i="127"/>
  <c r="J26" i="127" s="1"/>
  <c r="J28" i="127" s="1"/>
  <c r="G28" i="127"/>
  <c r="C23" i="127"/>
  <c r="K23" i="127"/>
  <c r="K26" i="127" s="1"/>
  <c r="K28" i="127" s="1"/>
  <c r="D28" i="127"/>
  <c r="H28" i="127"/>
  <c r="L28" i="127"/>
  <c r="E28" i="125"/>
  <c r="K28" i="125"/>
  <c r="J28" i="125"/>
  <c r="N23" i="125"/>
  <c r="N26" i="125" s="1"/>
  <c r="N28" i="125" s="1"/>
  <c r="G28" i="125"/>
  <c r="C23" i="125"/>
  <c r="K23" i="125"/>
  <c r="K26" i="125" s="1"/>
  <c r="D28" i="125"/>
  <c r="H28" i="125"/>
  <c r="L28" i="125"/>
  <c r="F28" i="125"/>
  <c r="F28" i="124"/>
  <c r="C30" i="124"/>
  <c r="I28" i="124"/>
  <c r="F23" i="124"/>
  <c r="F26" i="124" s="1"/>
  <c r="J23" i="124"/>
  <c r="J26" i="124" s="1"/>
  <c r="J28" i="124" s="1"/>
  <c r="N23" i="124"/>
  <c r="N26" i="124" s="1"/>
  <c r="N28" i="124" s="1"/>
  <c r="D28" i="124"/>
  <c r="D30" i="124" s="1"/>
  <c r="H28" i="124"/>
  <c r="L28" i="124"/>
  <c r="K28" i="122"/>
  <c r="M28" i="122"/>
  <c r="E23" i="122"/>
  <c r="E26" i="122" s="1"/>
  <c r="E28" i="122" s="1"/>
  <c r="I23" i="122"/>
  <c r="I26" i="122" s="1"/>
  <c r="I28" i="122" s="1"/>
  <c r="M23" i="122"/>
  <c r="M26" i="122" s="1"/>
  <c r="C26" i="122"/>
  <c r="C28" i="122" s="1"/>
  <c r="F28" i="122"/>
  <c r="J28" i="122"/>
  <c r="N28" i="122"/>
  <c r="D28" i="122"/>
  <c r="H28" i="122"/>
  <c r="L28" i="122"/>
  <c r="E28" i="90"/>
  <c r="J28" i="90"/>
  <c r="N28" i="90"/>
  <c r="F23" i="90"/>
  <c r="F26" i="90" s="1"/>
  <c r="F28" i="90" s="1"/>
  <c r="G28" i="90"/>
  <c r="C23" i="90"/>
  <c r="K23" i="90"/>
  <c r="K26" i="90" s="1"/>
  <c r="K28" i="90" s="1"/>
  <c r="D28" i="90"/>
  <c r="H28" i="90"/>
  <c r="L28" i="90"/>
  <c r="E28" i="105"/>
  <c r="K28" i="105"/>
  <c r="F28" i="105"/>
  <c r="J23" i="105"/>
  <c r="J26" i="105" s="1"/>
  <c r="J28" i="105" s="1"/>
  <c r="G28" i="105"/>
  <c r="C23" i="105"/>
  <c r="K23" i="105"/>
  <c r="K26" i="105" s="1"/>
  <c r="D28" i="105"/>
  <c r="H28" i="105"/>
  <c r="L28" i="105"/>
  <c r="N28" i="105"/>
  <c r="I28" i="106"/>
  <c r="C26" i="106"/>
  <c r="J28" i="106"/>
  <c r="F23" i="106"/>
  <c r="F26" i="106" s="1"/>
  <c r="F28" i="106" s="1"/>
  <c r="N23" i="106"/>
  <c r="N26" i="106" s="1"/>
  <c r="N28" i="106" s="1"/>
  <c r="C28" i="106"/>
  <c r="G28" i="106"/>
  <c r="K28" i="106"/>
  <c r="E23" i="57"/>
  <c r="E26" i="57" s="1"/>
  <c r="E28" i="57" s="1"/>
  <c r="I23" i="57"/>
  <c r="I26" i="57" s="1"/>
  <c r="I28" i="57" s="1"/>
  <c r="M23" i="57"/>
  <c r="M26" i="57" s="1"/>
  <c r="M28" i="57" s="1"/>
  <c r="C26" i="57"/>
  <c r="C28" i="57" s="1"/>
  <c r="F28" i="57"/>
  <c r="J28" i="57"/>
  <c r="N28" i="57"/>
  <c r="D28" i="57"/>
  <c r="H28" i="57"/>
  <c r="L28" i="57"/>
  <c r="F28" i="69"/>
  <c r="C30" i="69"/>
  <c r="I28" i="69"/>
  <c r="F23" i="69"/>
  <c r="F26" i="69" s="1"/>
  <c r="J23" i="69"/>
  <c r="J26" i="69" s="1"/>
  <c r="J28" i="69" s="1"/>
  <c r="N23" i="69"/>
  <c r="N26" i="69" s="1"/>
  <c r="N28" i="69" s="1"/>
  <c r="D28" i="69"/>
  <c r="H30" i="69" s="1"/>
  <c r="H28" i="69"/>
  <c r="L28" i="69"/>
  <c r="C26" i="76"/>
  <c r="I28" i="76"/>
  <c r="J28" i="76"/>
  <c r="F23" i="76"/>
  <c r="F26" i="76" s="1"/>
  <c r="F28" i="76" s="1"/>
  <c r="N23" i="76"/>
  <c r="N26" i="76" s="1"/>
  <c r="N28" i="76" s="1"/>
  <c r="C28" i="76"/>
  <c r="G28" i="76"/>
  <c r="K28" i="76"/>
  <c r="E28" i="97"/>
  <c r="C26" i="97"/>
  <c r="O26" i="97"/>
  <c r="O28" i="97" s="1"/>
  <c r="O30" i="97" s="1"/>
  <c r="G28" i="97"/>
  <c r="J28" i="97"/>
  <c r="N28" i="97"/>
  <c r="C28" i="97"/>
  <c r="K28" i="97"/>
  <c r="G23" i="97"/>
  <c r="G26" i="97" s="1"/>
  <c r="D28" i="97"/>
  <c r="H28" i="97"/>
  <c r="L28" i="97"/>
  <c r="F28" i="97"/>
  <c r="E28" i="98"/>
  <c r="C26" i="98"/>
  <c r="C28" i="98" s="1"/>
  <c r="N28" i="98"/>
  <c r="F23" i="98"/>
  <c r="F26" i="98" s="1"/>
  <c r="F28" i="98" s="1"/>
  <c r="J23" i="98"/>
  <c r="J26" i="98" s="1"/>
  <c r="J28" i="98" s="1"/>
  <c r="G28" i="98"/>
  <c r="K28" i="98"/>
  <c r="D28" i="98"/>
  <c r="H28" i="98"/>
  <c r="L28" i="98"/>
  <c r="C26" i="62"/>
  <c r="E23" i="62"/>
  <c r="E26" i="62" s="1"/>
  <c r="E28" i="62" s="1"/>
  <c r="I23" i="62"/>
  <c r="I26" i="62" s="1"/>
  <c r="I28" i="62" s="1"/>
  <c r="M23" i="62"/>
  <c r="M26" i="62" s="1"/>
  <c r="M28" i="62" s="1"/>
  <c r="F28" i="62"/>
  <c r="J28" i="62"/>
  <c r="N28" i="62"/>
  <c r="C28" i="62"/>
  <c r="G28" i="62"/>
  <c r="K28" i="62"/>
  <c r="D28" i="62"/>
  <c r="H28" i="62"/>
  <c r="L28" i="62"/>
  <c r="E28" i="68"/>
  <c r="C26" i="68"/>
  <c r="C28" i="68" s="1"/>
  <c r="F28" i="68"/>
  <c r="N28" i="68"/>
  <c r="J23" i="68"/>
  <c r="J26" i="68" s="1"/>
  <c r="J28" i="68" s="1"/>
  <c r="G28" i="68"/>
  <c r="K28" i="68"/>
  <c r="D28" i="68"/>
  <c r="H28" i="68"/>
  <c r="L28" i="68"/>
  <c r="E28" i="103"/>
  <c r="C26" i="103"/>
  <c r="O26" i="103"/>
  <c r="O28" i="103" s="1"/>
  <c r="O30" i="103" s="1"/>
  <c r="F23" i="103"/>
  <c r="F26" i="103" s="1"/>
  <c r="F28" i="103" s="1"/>
  <c r="C28" i="103"/>
  <c r="K28" i="103"/>
  <c r="G23" i="103"/>
  <c r="G26" i="103" s="1"/>
  <c r="G28" i="103" s="1"/>
  <c r="D28" i="103"/>
  <c r="H28" i="103"/>
  <c r="L28" i="103"/>
  <c r="J28" i="103"/>
  <c r="C23" i="65"/>
  <c r="G23" i="65"/>
  <c r="G26" i="65" s="1"/>
  <c r="G28" i="65" s="1"/>
  <c r="K23" i="65"/>
  <c r="K26" i="65" s="1"/>
  <c r="K28" i="65" s="1"/>
  <c r="J23" i="65"/>
  <c r="J26" i="65" s="1"/>
  <c r="J28" i="65" s="1"/>
  <c r="D28" i="65"/>
  <c r="H28" i="65"/>
  <c r="L28" i="65"/>
  <c r="C26" i="52"/>
  <c r="E23" i="52"/>
  <c r="E26" i="52" s="1"/>
  <c r="E28" i="52" s="1"/>
  <c r="I23" i="52"/>
  <c r="I26" i="52" s="1"/>
  <c r="I28" i="52" s="1"/>
  <c r="M23" i="52"/>
  <c r="M26" i="52" s="1"/>
  <c r="M28" i="52" s="1"/>
  <c r="F28" i="52"/>
  <c r="J28" i="52"/>
  <c r="N28" i="52"/>
  <c r="C28" i="52"/>
  <c r="G28" i="52"/>
  <c r="K28" i="52"/>
  <c r="D28" i="52"/>
  <c r="H28" i="52"/>
  <c r="L28" i="52"/>
  <c r="E28" i="50"/>
  <c r="G28" i="50"/>
  <c r="F28" i="50"/>
  <c r="N28" i="50"/>
  <c r="C23" i="50"/>
  <c r="G23" i="50"/>
  <c r="G26" i="50" s="1"/>
  <c r="K23" i="50"/>
  <c r="K26" i="50" s="1"/>
  <c r="K28" i="50" s="1"/>
  <c r="D28" i="50"/>
  <c r="H28" i="50"/>
  <c r="L28" i="50"/>
  <c r="J28" i="50"/>
  <c r="C26" i="79"/>
  <c r="I28" i="79"/>
  <c r="F28" i="79"/>
  <c r="J28" i="79"/>
  <c r="N28" i="79"/>
  <c r="F23" i="79"/>
  <c r="F26" i="79" s="1"/>
  <c r="J23" i="79"/>
  <c r="J26" i="79" s="1"/>
  <c r="C28" i="79"/>
  <c r="G28" i="79"/>
  <c r="K28" i="79"/>
  <c r="C30" i="70"/>
  <c r="D30" i="70"/>
  <c r="H28" i="70"/>
  <c r="I28" i="70"/>
  <c r="M28" i="70"/>
  <c r="F28" i="70"/>
  <c r="G30" i="70" s="1"/>
  <c r="J23" i="70"/>
  <c r="J26" i="70" s="1"/>
  <c r="J28" i="70" s="1"/>
  <c r="N23" i="70"/>
  <c r="N26" i="70" s="1"/>
  <c r="N28" i="70" s="1"/>
  <c r="E28" i="70"/>
  <c r="C26" i="51"/>
  <c r="C28" i="51" s="1"/>
  <c r="E23" i="51"/>
  <c r="E26" i="51" s="1"/>
  <c r="E28" i="51" s="1"/>
  <c r="I23" i="51"/>
  <c r="I26" i="51" s="1"/>
  <c r="I28" i="51" s="1"/>
  <c r="M23" i="51"/>
  <c r="M26" i="51" s="1"/>
  <c r="M28" i="51" s="1"/>
  <c r="F28" i="51"/>
  <c r="J28" i="51"/>
  <c r="N28" i="51"/>
  <c r="G28" i="51"/>
  <c r="K28" i="51"/>
  <c r="D28" i="51"/>
  <c r="H28" i="51"/>
  <c r="L28" i="51"/>
  <c r="D30" i="87"/>
  <c r="C30" i="87"/>
  <c r="I28" i="87"/>
  <c r="F28" i="87"/>
  <c r="J28" i="87"/>
  <c r="N28" i="87"/>
  <c r="D28" i="87"/>
  <c r="H28" i="87"/>
  <c r="L28" i="87"/>
  <c r="C26" i="138"/>
  <c r="C28" i="138" s="1"/>
  <c r="E23" i="138"/>
  <c r="E26" i="138" s="1"/>
  <c r="E28" i="138" s="1"/>
  <c r="I23" i="138"/>
  <c r="I26" i="138" s="1"/>
  <c r="I28" i="138" s="1"/>
  <c r="M23" i="138"/>
  <c r="M26" i="138" s="1"/>
  <c r="M28" i="138" s="1"/>
  <c r="F28" i="138"/>
  <c r="J28" i="138"/>
  <c r="N28" i="138"/>
  <c r="G28" i="138"/>
  <c r="K28" i="138"/>
  <c r="D28" i="138"/>
  <c r="H28" i="138"/>
  <c r="L28" i="138"/>
  <c r="E28" i="58"/>
  <c r="C26" i="58"/>
  <c r="G28" i="58"/>
  <c r="J28" i="58"/>
  <c r="N28" i="58"/>
  <c r="C28" i="58"/>
  <c r="K28" i="58"/>
  <c r="G23" i="58"/>
  <c r="G26" i="58" s="1"/>
  <c r="D28" i="58"/>
  <c r="H28" i="58"/>
  <c r="L28" i="58"/>
  <c r="F28" i="58"/>
  <c r="E28" i="72"/>
  <c r="J28" i="72"/>
  <c r="C26" i="72"/>
  <c r="F28" i="72"/>
  <c r="N28" i="72"/>
  <c r="J23" i="72"/>
  <c r="J26" i="72" s="1"/>
  <c r="C28" i="72"/>
  <c r="G28" i="72"/>
  <c r="K28" i="72"/>
  <c r="D28" i="72"/>
  <c r="H28" i="72"/>
  <c r="L28" i="72"/>
  <c r="E28" i="47"/>
  <c r="C26" i="47"/>
  <c r="C28" i="47" s="1"/>
  <c r="F28" i="47"/>
  <c r="N28" i="47"/>
  <c r="J23" i="47"/>
  <c r="J26" i="47" s="1"/>
  <c r="J28" i="47" s="1"/>
  <c r="G28" i="47"/>
  <c r="K28" i="47"/>
  <c r="D28" i="47"/>
  <c r="H28" i="47"/>
  <c r="L28" i="47"/>
  <c r="C30" i="71"/>
  <c r="I28" i="71"/>
  <c r="J28" i="71"/>
  <c r="N28" i="71"/>
  <c r="F23" i="71"/>
  <c r="F26" i="71" s="1"/>
  <c r="F28" i="71" s="1"/>
  <c r="D28" i="71"/>
  <c r="H30" i="71" s="1"/>
  <c r="H28" i="71"/>
  <c r="L28" i="71"/>
  <c r="E28" i="53"/>
  <c r="C26" i="53"/>
  <c r="J28" i="53"/>
  <c r="F23" i="53"/>
  <c r="F26" i="53" s="1"/>
  <c r="F28" i="53" s="1"/>
  <c r="N23" i="53"/>
  <c r="N26" i="53" s="1"/>
  <c r="N28" i="53" s="1"/>
  <c r="C28" i="53"/>
  <c r="G28" i="53"/>
  <c r="K28" i="53"/>
  <c r="D28" i="53"/>
  <c r="H28" i="53"/>
  <c r="L28" i="53"/>
  <c r="C26" i="64"/>
  <c r="E28" i="64"/>
  <c r="I23" i="64"/>
  <c r="I26" i="64" s="1"/>
  <c r="I28" i="64" s="1"/>
  <c r="M23" i="64"/>
  <c r="M26" i="64" s="1"/>
  <c r="M28" i="64" s="1"/>
  <c r="F28" i="64"/>
  <c r="J28" i="64"/>
  <c r="N28" i="64"/>
  <c r="C28" i="64"/>
  <c r="G28" i="64"/>
  <c r="K28" i="64"/>
  <c r="I28" i="49"/>
  <c r="C26" i="49"/>
  <c r="C28" i="49" s="1"/>
  <c r="J28" i="49"/>
  <c r="F23" i="49"/>
  <c r="F26" i="49" s="1"/>
  <c r="F28" i="49" s="1"/>
  <c r="J23" i="49"/>
  <c r="J26" i="49" s="1"/>
  <c r="N23" i="49"/>
  <c r="N26" i="49" s="1"/>
  <c r="N28" i="49" s="1"/>
  <c r="G28" i="49"/>
  <c r="K28" i="49"/>
  <c r="O25" i="96"/>
  <c r="N21" i="96"/>
  <c r="N23" i="96" s="1"/>
  <c r="N26" i="96" s="1"/>
  <c r="M21" i="96"/>
  <c r="L21" i="96"/>
  <c r="L23" i="96" s="1"/>
  <c r="L26" i="96" s="1"/>
  <c r="K21" i="96"/>
  <c r="O9" i="96"/>
  <c r="N9" i="96"/>
  <c r="M9" i="96"/>
  <c r="L9" i="96"/>
  <c r="K9" i="96"/>
  <c r="J9" i="96"/>
  <c r="I9" i="96"/>
  <c r="H9" i="96"/>
  <c r="G9" i="96"/>
  <c r="F9" i="96"/>
  <c r="E9" i="96"/>
  <c r="D9" i="96"/>
  <c r="C9" i="96"/>
  <c r="O25" i="63"/>
  <c r="K23" i="63"/>
  <c r="K26" i="63" s="1"/>
  <c r="G23" i="63"/>
  <c r="G26" i="63" s="1"/>
  <c r="N21" i="63"/>
  <c r="N23" i="63" s="1"/>
  <c r="N26" i="63" s="1"/>
  <c r="M21" i="63"/>
  <c r="L21" i="63"/>
  <c r="L23" i="63" s="1"/>
  <c r="L26" i="63" s="1"/>
  <c r="K21" i="63"/>
  <c r="J21" i="63"/>
  <c r="J23" i="63" s="1"/>
  <c r="J26" i="63" s="1"/>
  <c r="I21" i="63"/>
  <c r="H21" i="63"/>
  <c r="H23" i="63" s="1"/>
  <c r="H26" i="63" s="1"/>
  <c r="G21" i="63"/>
  <c r="F21" i="63"/>
  <c r="F23" i="63" s="1"/>
  <c r="F26" i="63" s="1"/>
  <c r="E21" i="63"/>
  <c r="D21" i="63"/>
  <c r="D23" i="63" s="1"/>
  <c r="D26" i="63" s="1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O25" i="3"/>
  <c r="N21" i="3"/>
  <c r="N23" i="3" s="1"/>
  <c r="N26" i="3" s="1"/>
  <c r="M21" i="3"/>
  <c r="L21" i="3"/>
  <c r="L23" i="3" s="1"/>
  <c r="L26" i="3" s="1"/>
  <c r="K21" i="3"/>
  <c r="K23" i="3" s="1"/>
  <c r="K26" i="3" s="1"/>
  <c r="O25" i="55"/>
  <c r="N21" i="55"/>
  <c r="N23" i="55" s="1"/>
  <c r="N26" i="55" s="1"/>
  <c r="M21" i="55"/>
  <c r="L21" i="55"/>
  <c r="L23" i="55" s="1"/>
  <c r="L26" i="55" s="1"/>
  <c r="K21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O25" i="56"/>
  <c r="N21" i="56"/>
  <c r="N23" i="56" s="1"/>
  <c r="N26" i="56" s="1"/>
  <c r="M21" i="56"/>
  <c r="L21" i="56"/>
  <c r="K21" i="56"/>
  <c r="K23" i="56" s="1"/>
  <c r="K26" i="56" s="1"/>
  <c r="O9" i="56"/>
  <c r="N9" i="56"/>
  <c r="M9" i="56"/>
  <c r="L9" i="56"/>
  <c r="K9" i="56"/>
  <c r="J9" i="56"/>
  <c r="I9" i="56"/>
  <c r="H9" i="56"/>
  <c r="G9" i="56"/>
  <c r="F9" i="56"/>
  <c r="E9" i="56"/>
  <c r="D9" i="56"/>
  <c r="C9" i="56"/>
  <c r="O25" i="61"/>
  <c r="N21" i="61"/>
  <c r="N23" i="61" s="1"/>
  <c r="N26" i="61" s="1"/>
  <c r="M21" i="61"/>
  <c r="L21" i="61"/>
  <c r="L23" i="61" s="1"/>
  <c r="L26" i="61" s="1"/>
  <c r="K21" i="61"/>
  <c r="K23" i="61" s="1"/>
  <c r="K26" i="61" s="1"/>
  <c r="O9" i="61"/>
  <c r="N9" i="61"/>
  <c r="M9" i="61"/>
  <c r="L9" i="61"/>
  <c r="K9" i="61"/>
  <c r="J9" i="61"/>
  <c r="I9" i="61"/>
  <c r="H9" i="61"/>
  <c r="G9" i="61"/>
  <c r="F9" i="61"/>
  <c r="E9" i="61"/>
  <c r="D9" i="61"/>
  <c r="C9" i="61"/>
  <c r="O25" i="81"/>
  <c r="N21" i="81"/>
  <c r="N23" i="81" s="1"/>
  <c r="N26" i="81" s="1"/>
  <c r="M21" i="81"/>
  <c r="L21" i="81"/>
  <c r="L23" i="81" s="1"/>
  <c r="L26" i="81" s="1"/>
  <c r="K21" i="81"/>
  <c r="K23" i="81" s="1"/>
  <c r="K26" i="81" s="1"/>
  <c r="O9" i="81"/>
  <c r="N9" i="81"/>
  <c r="M9" i="81"/>
  <c r="L9" i="81"/>
  <c r="K9" i="81"/>
  <c r="J9" i="81"/>
  <c r="I9" i="81"/>
  <c r="H9" i="81"/>
  <c r="G9" i="81"/>
  <c r="F9" i="81"/>
  <c r="E9" i="81"/>
  <c r="D9" i="81"/>
  <c r="C9" i="81"/>
  <c r="O25" i="66"/>
  <c r="M23" i="66"/>
  <c r="M26" i="66" s="1"/>
  <c r="N21" i="66"/>
  <c r="M21" i="66"/>
  <c r="L21" i="66"/>
  <c r="L23" i="66" s="1"/>
  <c r="L26" i="66" s="1"/>
  <c r="K21" i="66"/>
  <c r="K23" i="66" s="1"/>
  <c r="K26" i="66" s="1"/>
  <c r="O9" i="66"/>
  <c r="N9" i="66"/>
  <c r="M9" i="66"/>
  <c r="L9" i="66"/>
  <c r="K9" i="66"/>
  <c r="J9" i="66"/>
  <c r="I9" i="66"/>
  <c r="H9" i="66"/>
  <c r="G9" i="66"/>
  <c r="F9" i="66"/>
  <c r="E9" i="66"/>
  <c r="D9" i="66"/>
  <c r="C9" i="66"/>
  <c r="O25" i="67"/>
  <c r="N21" i="67"/>
  <c r="N23" i="67" s="1"/>
  <c r="N26" i="67" s="1"/>
  <c r="M21" i="67"/>
  <c r="L21" i="67"/>
  <c r="L23" i="67" s="1"/>
  <c r="L26" i="67" s="1"/>
  <c r="K21" i="67"/>
  <c r="K23" i="67" s="1"/>
  <c r="K26" i="67" s="1"/>
  <c r="O9" i="67"/>
  <c r="N9" i="67"/>
  <c r="M9" i="67"/>
  <c r="L9" i="67"/>
  <c r="K9" i="67"/>
  <c r="J9" i="67"/>
  <c r="I9" i="67"/>
  <c r="H9" i="67"/>
  <c r="G9" i="67"/>
  <c r="F9" i="67"/>
  <c r="E9" i="67"/>
  <c r="D9" i="67"/>
  <c r="C9" i="67"/>
  <c r="O25" i="102"/>
  <c r="N21" i="102"/>
  <c r="N23" i="102" s="1"/>
  <c r="N26" i="102" s="1"/>
  <c r="M21" i="102"/>
  <c r="L21" i="102"/>
  <c r="K21" i="102"/>
  <c r="K23" i="102" s="1"/>
  <c r="K26" i="102" s="1"/>
  <c r="J21" i="102"/>
  <c r="J23" i="102" s="1"/>
  <c r="J26" i="102" s="1"/>
  <c r="I21" i="102"/>
  <c r="H21" i="102"/>
  <c r="G21" i="102"/>
  <c r="G23" i="102" s="1"/>
  <c r="G26" i="102" s="1"/>
  <c r="F21" i="102"/>
  <c r="F23" i="102" s="1"/>
  <c r="F26" i="102" s="1"/>
  <c r="O9" i="102"/>
  <c r="N9" i="102"/>
  <c r="M9" i="102"/>
  <c r="L9" i="102"/>
  <c r="K9" i="102"/>
  <c r="J9" i="102"/>
  <c r="I9" i="102"/>
  <c r="H9" i="102"/>
  <c r="G9" i="102"/>
  <c r="F9" i="102"/>
  <c r="E9" i="102"/>
  <c r="D9" i="102"/>
  <c r="C9" i="102"/>
  <c r="O25" i="48"/>
  <c r="M23" i="48"/>
  <c r="M26" i="48" s="1"/>
  <c r="N21" i="48"/>
  <c r="N23" i="48" s="1"/>
  <c r="N26" i="48" s="1"/>
  <c r="N28" i="48" s="1"/>
  <c r="M21" i="48"/>
  <c r="L21" i="48"/>
  <c r="L23" i="48" s="1"/>
  <c r="L26" i="48" s="1"/>
  <c r="K21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O25" i="95"/>
  <c r="N21" i="95"/>
  <c r="N23" i="95" s="1"/>
  <c r="N26" i="95" s="1"/>
  <c r="M21" i="95"/>
  <c r="M23" i="95" s="1"/>
  <c r="M26" i="95" s="1"/>
  <c r="L21" i="95"/>
  <c r="L23" i="95" s="1"/>
  <c r="L26" i="95" s="1"/>
  <c r="K21" i="95"/>
  <c r="K23" i="95" s="1"/>
  <c r="K26" i="95" s="1"/>
  <c r="O9" i="95"/>
  <c r="N9" i="95"/>
  <c r="M9" i="95"/>
  <c r="L9" i="95"/>
  <c r="K9" i="95"/>
  <c r="J9" i="95"/>
  <c r="I9" i="95"/>
  <c r="H9" i="95"/>
  <c r="G9" i="95"/>
  <c r="F9" i="95"/>
  <c r="E9" i="95"/>
  <c r="D9" i="95"/>
  <c r="C9" i="95"/>
  <c r="O25" i="54"/>
  <c r="G23" i="54"/>
  <c r="G26" i="54" s="1"/>
  <c r="E23" i="54"/>
  <c r="E26" i="54" s="1"/>
  <c r="N21" i="54"/>
  <c r="N23" i="54" s="1"/>
  <c r="N26" i="54" s="1"/>
  <c r="M21" i="54"/>
  <c r="L21" i="54"/>
  <c r="L23" i="54" s="1"/>
  <c r="L26" i="54" s="1"/>
  <c r="K21" i="54"/>
  <c r="K23" i="54" s="1"/>
  <c r="K26" i="54" s="1"/>
  <c r="J21" i="54"/>
  <c r="I21" i="54"/>
  <c r="I23" i="54" s="1"/>
  <c r="I26" i="54" s="1"/>
  <c r="H21" i="54"/>
  <c r="H23" i="54" s="1"/>
  <c r="H26" i="54" s="1"/>
  <c r="G21" i="54"/>
  <c r="F21" i="54"/>
  <c r="E21" i="54"/>
  <c r="O9" i="54"/>
  <c r="N9" i="54"/>
  <c r="M9" i="54"/>
  <c r="L9" i="54"/>
  <c r="K9" i="54"/>
  <c r="J9" i="54"/>
  <c r="I9" i="54"/>
  <c r="H9" i="54"/>
  <c r="G9" i="54"/>
  <c r="F9" i="54"/>
  <c r="E9" i="54"/>
  <c r="D9" i="54"/>
  <c r="C9" i="54"/>
  <c r="O25" i="60"/>
  <c r="N21" i="60"/>
  <c r="N23" i="60" s="1"/>
  <c r="N26" i="60" s="1"/>
  <c r="N28" i="60" s="1"/>
  <c r="M21" i="60"/>
  <c r="L21" i="60"/>
  <c r="L23" i="60" s="1"/>
  <c r="L26" i="60" s="1"/>
  <c r="K21" i="60"/>
  <c r="O9" i="60"/>
  <c r="N9" i="60"/>
  <c r="M9" i="60"/>
  <c r="L9" i="60"/>
  <c r="K9" i="60"/>
  <c r="J9" i="60"/>
  <c r="I9" i="60"/>
  <c r="H9" i="60"/>
  <c r="G9" i="60"/>
  <c r="F9" i="60"/>
  <c r="E9" i="60"/>
  <c r="D9" i="60"/>
  <c r="C9" i="60"/>
  <c r="O25" i="83"/>
  <c r="N21" i="83"/>
  <c r="N23" i="83" s="1"/>
  <c r="N26" i="83" s="1"/>
  <c r="M21" i="83"/>
  <c r="M23" i="83" s="1"/>
  <c r="M26" i="83" s="1"/>
  <c r="L21" i="83"/>
  <c r="L23" i="83" s="1"/>
  <c r="L26" i="83" s="1"/>
  <c r="K21" i="83"/>
  <c r="O9" i="83"/>
  <c r="N9" i="83"/>
  <c r="M9" i="83"/>
  <c r="L9" i="83"/>
  <c r="K9" i="83"/>
  <c r="J9" i="83"/>
  <c r="I9" i="83"/>
  <c r="H9" i="83"/>
  <c r="G9" i="83"/>
  <c r="F9" i="83"/>
  <c r="E9" i="83"/>
  <c r="D9" i="83"/>
  <c r="C9" i="83"/>
  <c r="O25" i="73"/>
  <c r="O25" i="86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O25" i="117"/>
  <c r="M23" i="117"/>
  <c r="M26" i="117" s="1"/>
  <c r="N21" i="117"/>
  <c r="N23" i="117" s="1"/>
  <c r="N26" i="117" s="1"/>
  <c r="M21" i="117"/>
  <c r="L21" i="117"/>
  <c r="K21" i="117"/>
  <c r="K23" i="117" s="1"/>
  <c r="K26" i="117" s="1"/>
  <c r="H21" i="117"/>
  <c r="H23" i="117" s="1"/>
  <c r="H26" i="117" s="1"/>
  <c r="N19" i="86"/>
  <c r="N21" i="86" s="1"/>
  <c r="N23" i="86" s="1"/>
  <c r="N26" i="86" s="1"/>
  <c r="N28" i="86" s="1"/>
  <c r="M19" i="86"/>
  <c r="M21" i="86" s="1"/>
  <c r="M23" i="86" s="1"/>
  <c r="M26" i="86" s="1"/>
  <c r="M28" i="86" s="1"/>
  <c r="L19" i="86"/>
  <c r="L21" i="86" s="1"/>
  <c r="L23" i="86" s="1"/>
  <c r="L26" i="86" s="1"/>
  <c r="L28" i="86" s="1"/>
  <c r="K19" i="86"/>
  <c r="K21" i="86" s="1"/>
  <c r="K23" i="86" s="1"/>
  <c r="K26" i="86" s="1"/>
  <c r="K28" i="86" s="1"/>
  <c r="O9" i="86"/>
  <c r="N9" i="86"/>
  <c r="M9" i="86"/>
  <c r="L9" i="86"/>
  <c r="K9" i="86"/>
  <c r="J9" i="86"/>
  <c r="I9" i="86"/>
  <c r="H9" i="86"/>
  <c r="G9" i="86"/>
  <c r="F9" i="86"/>
  <c r="E9" i="86"/>
  <c r="D9" i="86"/>
  <c r="C9" i="86"/>
  <c r="O25" i="85"/>
  <c r="L23" i="117" l="1"/>
  <c r="L26" i="117" s="1"/>
  <c r="AG9" i="29"/>
  <c r="O26" i="52"/>
  <c r="O26" i="87"/>
  <c r="N30" i="87"/>
  <c r="N31" i="87" s="1"/>
  <c r="N32" i="87" s="1"/>
  <c r="N33" i="87" s="1"/>
  <c r="N35" i="87" s="1"/>
  <c r="K30" i="87"/>
  <c r="H30" i="150"/>
  <c r="D30" i="150"/>
  <c r="G30" i="150"/>
  <c r="C30" i="150"/>
  <c r="E30" i="150"/>
  <c r="J30" i="150"/>
  <c r="F30" i="150"/>
  <c r="I30" i="150"/>
  <c r="H30" i="149"/>
  <c r="D30" i="149"/>
  <c r="G30" i="149"/>
  <c r="C30" i="149"/>
  <c r="J30" i="149"/>
  <c r="F30" i="149"/>
  <c r="I30" i="149"/>
  <c r="E30" i="149"/>
  <c r="L30" i="145"/>
  <c r="H30" i="145"/>
  <c r="D30" i="145"/>
  <c r="M30" i="145"/>
  <c r="K30" i="145"/>
  <c r="G30" i="145"/>
  <c r="C30" i="145"/>
  <c r="I30" i="145"/>
  <c r="N30" i="145"/>
  <c r="J30" i="145"/>
  <c r="F30" i="145"/>
  <c r="E30" i="145"/>
  <c r="O26" i="145"/>
  <c r="O28" i="145" s="1"/>
  <c r="O30" i="145" s="1"/>
  <c r="L30" i="146"/>
  <c r="H30" i="146"/>
  <c r="D30" i="146"/>
  <c r="M30" i="146"/>
  <c r="E30" i="146"/>
  <c r="K30" i="146"/>
  <c r="G30" i="146"/>
  <c r="C30" i="146"/>
  <c r="I30" i="146"/>
  <c r="N30" i="146"/>
  <c r="J30" i="146"/>
  <c r="F30" i="146"/>
  <c r="O26" i="146"/>
  <c r="O28" i="146" s="1"/>
  <c r="O30" i="146" s="1"/>
  <c r="C26" i="144"/>
  <c r="C28" i="144" s="1"/>
  <c r="O31" i="148"/>
  <c r="O32" i="148" s="1"/>
  <c r="O33" i="148" s="1"/>
  <c r="O35" i="148" s="1"/>
  <c r="L30" i="148"/>
  <c r="H30" i="148"/>
  <c r="D30" i="148"/>
  <c r="M30" i="148"/>
  <c r="K30" i="148"/>
  <c r="G30" i="148"/>
  <c r="C30" i="148"/>
  <c r="E30" i="148"/>
  <c r="N30" i="148"/>
  <c r="J30" i="148"/>
  <c r="F30" i="148"/>
  <c r="I30" i="148"/>
  <c r="G31" i="147"/>
  <c r="G32" i="147"/>
  <c r="G33" i="147" s="1"/>
  <c r="G35" i="147" s="1"/>
  <c r="H30" i="147"/>
  <c r="D31" i="147"/>
  <c r="D32" i="147"/>
  <c r="D33" i="147" s="1"/>
  <c r="D35" i="147" s="1"/>
  <c r="D36" i="147" s="1"/>
  <c r="I30" i="147"/>
  <c r="E30" i="147"/>
  <c r="J30" i="147"/>
  <c r="F30" i="147"/>
  <c r="C31" i="147"/>
  <c r="C32" i="147"/>
  <c r="C33" i="147" s="1"/>
  <c r="C35" i="147" s="1"/>
  <c r="C36" i="147" s="1"/>
  <c r="C26" i="142"/>
  <c r="C28" i="142" s="1"/>
  <c r="H30" i="141"/>
  <c r="D30" i="141"/>
  <c r="E30" i="141"/>
  <c r="G30" i="141"/>
  <c r="C30" i="141"/>
  <c r="I30" i="141"/>
  <c r="J30" i="141"/>
  <c r="F30" i="141"/>
  <c r="L30" i="140"/>
  <c r="H30" i="140"/>
  <c r="D30" i="140"/>
  <c r="N30" i="140"/>
  <c r="F30" i="140"/>
  <c r="I30" i="140"/>
  <c r="K30" i="140"/>
  <c r="G30" i="140"/>
  <c r="C30" i="140"/>
  <c r="J30" i="140"/>
  <c r="M30" i="140"/>
  <c r="E30" i="140"/>
  <c r="O31" i="140"/>
  <c r="O32" i="140" s="1"/>
  <c r="O33" i="140" s="1"/>
  <c r="O35" i="140" s="1"/>
  <c r="L30" i="139"/>
  <c r="H30" i="139"/>
  <c r="D30" i="139"/>
  <c r="M30" i="139"/>
  <c r="K30" i="139"/>
  <c r="G30" i="139"/>
  <c r="C30" i="139"/>
  <c r="E30" i="139"/>
  <c r="N30" i="139"/>
  <c r="J30" i="139"/>
  <c r="F30" i="139"/>
  <c r="I30" i="139"/>
  <c r="O26" i="137"/>
  <c r="O28" i="137" s="1"/>
  <c r="O30" i="137" s="1"/>
  <c r="L30" i="137"/>
  <c r="H30" i="137"/>
  <c r="D30" i="137"/>
  <c r="M30" i="137"/>
  <c r="K30" i="137"/>
  <c r="G30" i="137"/>
  <c r="C30" i="137"/>
  <c r="E30" i="137"/>
  <c r="N30" i="137"/>
  <c r="J30" i="137"/>
  <c r="F30" i="137"/>
  <c r="I30" i="137"/>
  <c r="O26" i="135"/>
  <c r="O28" i="135" s="1"/>
  <c r="O30" i="135" s="1"/>
  <c r="L30" i="135"/>
  <c r="H30" i="135"/>
  <c r="D30" i="135"/>
  <c r="E30" i="135"/>
  <c r="K30" i="135"/>
  <c r="G30" i="135"/>
  <c r="C30" i="135"/>
  <c r="M30" i="135"/>
  <c r="N30" i="135"/>
  <c r="J30" i="135"/>
  <c r="F30" i="135"/>
  <c r="I30" i="135"/>
  <c r="O26" i="134"/>
  <c r="O28" i="134" s="1"/>
  <c r="O30" i="134" s="1"/>
  <c r="C26" i="134"/>
  <c r="C28" i="134" s="1"/>
  <c r="I31" i="132"/>
  <c r="I32" i="132" s="1"/>
  <c r="I33" i="132" s="1"/>
  <c r="I35" i="132" s="1"/>
  <c r="O26" i="132"/>
  <c r="F30" i="132"/>
  <c r="C31" i="132"/>
  <c r="C32" i="132"/>
  <c r="C33" i="132" s="1"/>
  <c r="C35" i="132" s="1"/>
  <c r="C36" i="132" s="1"/>
  <c r="D30" i="132"/>
  <c r="J30" i="132"/>
  <c r="G30" i="132"/>
  <c r="H30" i="132"/>
  <c r="N30" i="132"/>
  <c r="K30" i="132"/>
  <c r="L30" i="132"/>
  <c r="E30" i="132"/>
  <c r="M30" i="132"/>
  <c r="O31" i="130"/>
  <c r="O32" i="130" s="1"/>
  <c r="O33" i="130" s="1"/>
  <c r="O35" i="130" s="1"/>
  <c r="L30" i="130"/>
  <c r="H30" i="130"/>
  <c r="D30" i="130"/>
  <c r="E30" i="130"/>
  <c r="K30" i="130"/>
  <c r="G30" i="130"/>
  <c r="C30" i="130"/>
  <c r="M30" i="130"/>
  <c r="N30" i="130"/>
  <c r="J30" i="130"/>
  <c r="F30" i="130"/>
  <c r="I30" i="130"/>
  <c r="L30" i="129"/>
  <c r="H30" i="129"/>
  <c r="D30" i="129"/>
  <c r="I30" i="129"/>
  <c r="K30" i="129"/>
  <c r="G30" i="129"/>
  <c r="C30" i="129"/>
  <c r="M30" i="129"/>
  <c r="N30" i="129"/>
  <c r="J30" i="129"/>
  <c r="F30" i="129"/>
  <c r="E30" i="129"/>
  <c r="O31" i="129"/>
  <c r="O32" i="129" s="1"/>
  <c r="O33" i="129" s="1"/>
  <c r="O35" i="129" s="1"/>
  <c r="O26" i="128"/>
  <c r="C26" i="128"/>
  <c r="C28" i="128" s="1"/>
  <c r="O26" i="127"/>
  <c r="C26" i="127"/>
  <c r="C28" i="127" s="1"/>
  <c r="O26" i="125"/>
  <c r="O28" i="125" s="1"/>
  <c r="O30" i="125" s="1"/>
  <c r="C26" i="125"/>
  <c r="C28" i="125" s="1"/>
  <c r="D31" i="124"/>
  <c r="D32" i="124" s="1"/>
  <c r="D33" i="124" s="1"/>
  <c r="D35" i="124" s="1"/>
  <c r="J30" i="124"/>
  <c r="G30" i="124"/>
  <c r="H30" i="124"/>
  <c r="N30" i="124"/>
  <c r="K30" i="124"/>
  <c r="L30" i="124"/>
  <c r="E30" i="124"/>
  <c r="M30" i="124"/>
  <c r="I30" i="124"/>
  <c r="O26" i="124"/>
  <c r="F30" i="124"/>
  <c r="C31" i="124"/>
  <c r="C32" i="124" s="1"/>
  <c r="C33" i="124" s="1"/>
  <c r="C35" i="124" s="1"/>
  <c r="C36" i="124" s="1"/>
  <c r="L30" i="122"/>
  <c r="H30" i="122"/>
  <c r="D30" i="122"/>
  <c r="K30" i="122"/>
  <c r="G30" i="122"/>
  <c r="C30" i="122"/>
  <c r="N30" i="122"/>
  <c r="J30" i="122"/>
  <c r="F30" i="122"/>
  <c r="M30" i="122"/>
  <c r="I30" i="122"/>
  <c r="E30" i="122"/>
  <c r="O26" i="122"/>
  <c r="O28" i="122" s="1"/>
  <c r="O30" i="122" s="1"/>
  <c r="C26" i="90"/>
  <c r="C28" i="90" s="1"/>
  <c r="O26" i="90"/>
  <c r="O26" i="105"/>
  <c r="O28" i="105" s="1"/>
  <c r="O30" i="105" s="1"/>
  <c r="C26" i="105"/>
  <c r="C28" i="105" s="1"/>
  <c r="L30" i="106"/>
  <c r="H30" i="106"/>
  <c r="D30" i="106"/>
  <c r="I30" i="106"/>
  <c r="K30" i="106"/>
  <c r="G30" i="106"/>
  <c r="C30" i="106"/>
  <c r="M30" i="106"/>
  <c r="N30" i="106"/>
  <c r="J30" i="106"/>
  <c r="F30" i="106"/>
  <c r="E30" i="106"/>
  <c r="O26" i="106"/>
  <c r="L30" i="57"/>
  <c r="H30" i="57"/>
  <c r="D30" i="57"/>
  <c r="K30" i="57"/>
  <c r="G30" i="57"/>
  <c r="C30" i="57"/>
  <c r="N30" i="57"/>
  <c r="J30" i="57"/>
  <c r="F30" i="57"/>
  <c r="M30" i="57"/>
  <c r="I30" i="57"/>
  <c r="E30" i="57"/>
  <c r="O26" i="57"/>
  <c r="H31" i="69"/>
  <c r="H32" i="69"/>
  <c r="H33" i="69" s="1"/>
  <c r="H35" i="69" s="1"/>
  <c r="N30" i="69"/>
  <c r="K30" i="69"/>
  <c r="L30" i="69"/>
  <c r="E30" i="69"/>
  <c r="I30" i="69"/>
  <c r="M30" i="69"/>
  <c r="F30" i="69"/>
  <c r="C31" i="69"/>
  <c r="C32" i="69" s="1"/>
  <c r="C33" i="69" s="1"/>
  <c r="C35" i="69" s="1"/>
  <c r="C36" i="69" s="1"/>
  <c r="D30" i="69"/>
  <c r="O26" i="69"/>
  <c r="J30" i="69"/>
  <c r="G30" i="69"/>
  <c r="L30" i="76"/>
  <c r="H30" i="76"/>
  <c r="D30" i="76"/>
  <c r="I30" i="76"/>
  <c r="K30" i="76"/>
  <c r="G30" i="76"/>
  <c r="C30" i="76"/>
  <c r="M30" i="76"/>
  <c r="N30" i="76"/>
  <c r="J30" i="76"/>
  <c r="F30" i="76"/>
  <c r="E30" i="76"/>
  <c r="O26" i="76"/>
  <c r="O31" i="97"/>
  <c r="O32" i="97" s="1"/>
  <c r="O33" i="97" s="1"/>
  <c r="O35" i="97" s="1"/>
  <c r="L30" i="97"/>
  <c r="H30" i="97"/>
  <c r="D30" i="97"/>
  <c r="J30" i="97"/>
  <c r="F30" i="97"/>
  <c r="I30" i="97"/>
  <c r="E30" i="97"/>
  <c r="K30" i="97"/>
  <c r="G30" i="97"/>
  <c r="C30" i="97"/>
  <c r="N30" i="97"/>
  <c r="M30" i="97"/>
  <c r="L30" i="98"/>
  <c r="H30" i="98"/>
  <c r="D30" i="98"/>
  <c r="E30" i="98"/>
  <c r="K30" i="98"/>
  <c r="G30" i="98"/>
  <c r="C30" i="98"/>
  <c r="I30" i="98"/>
  <c r="N30" i="98"/>
  <c r="J30" i="98"/>
  <c r="F30" i="98"/>
  <c r="M30" i="98"/>
  <c r="O26" i="98"/>
  <c r="O26" i="62"/>
  <c r="L30" i="62"/>
  <c r="H30" i="62"/>
  <c r="D30" i="62"/>
  <c r="K30" i="62"/>
  <c r="G30" i="62"/>
  <c r="C30" i="62"/>
  <c r="N30" i="62"/>
  <c r="J30" i="62"/>
  <c r="F30" i="62"/>
  <c r="M30" i="62"/>
  <c r="I30" i="62"/>
  <c r="E30" i="62"/>
  <c r="L30" i="68"/>
  <c r="H30" i="68"/>
  <c r="D30" i="68"/>
  <c r="E30" i="68"/>
  <c r="K30" i="68"/>
  <c r="G30" i="68"/>
  <c r="C30" i="68"/>
  <c r="I30" i="68"/>
  <c r="N30" i="68"/>
  <c r="J30" i="68"/>
  <c r="F30" i="68"/>
  <c r="M30" i="68"/>
  <c r="O26" i="68"/>
  <c r="O31" i="103"/>
  <c r="O32" i="103" s="1"/>
  <c r="O33" i="103" s="1"/>
  <c r="O35" i="103" s="1"/>
  <c r="L30" i="103"/>
  <c r="H30" i="103"/>
  <c r="D30" i="103"/>
  <c r="N30" i="103"/>
  <c r="F30" i="103"/>
  <c r="I30" i="103"/>
  <c r="E30" i="103"/>
  <c r="K30" i="103"/>
  <c r="G30" i="103"/>
  <c r="C30" i="103"/>
  <c r="J30" i="103"/>
  <c r="M30" i="103"/>
  <c r="O26" i="65"/>
  <c r="C26" i="65"/>
  <c r="C28" i="65" s="1"/>
  <c r="L30" i="52"/>
  <c r="H30" i="52"/>
  <c r="D30" i="52"/>
  <c r="K30" i="52"/>
  <c r="G30" i="52"/>
  <c r="C30" i="52"/>
  <c r="N30" i="52"/>
  <c r="J30" i="52"/>
  <c r="F30" i="52"/>
  <c r="M30" i="52"/>
  <c r="I30" i="52"/>
  <c r="E30" i="52"/>
  <c r="C26" i="50"/>
  <c r="C28" i="50" s="1"/>
  <c r="O26" i="50"/>
  <c r="O26" i="79"/>
  <c r="L30" i="79"/>
  <c r="H30" i="79"/>
  <c r="D30" i="79"/>
  <c r="E30" i="79"/>
  <c r="K30" i="79"/>
  <c r="G30" i="79"/>
  <c r="C30" i="79"/>
  <c r="I30" i="79"/>
  <c r="N30" i="79"/>
  <c r="J30" i="79"/>
  <c r="F30" i="79"/>
  <c r="M30" i="79"/>
  <c r="G31" i="70"/>
  <c r="G32" i="70" s="1"/>
  <c r="G33" i="70" s="1"/>
  <c r="G35" i="70" s="1"/>
  <c r="N30" i="70"/>
  <c r="M30" i="70"/>
  <c r="K30" i="70"/>
  <c r="H30" i="70"/>
  <c r="J30" i="70"/>
  <c r="I30" i="70"/>
  <c r="D31" i="70"/>
  <c r="D32" i="70"/>
  <c r="D33" i="70" s="1"/>
  <c r="D35" i="70" s="1"/>
  <c r="F30" i="70"/>
  <c r="L30" i="70"/>
  <c r="O26" i="70"/>
  <c r="E30" i="70"/>
  <c r="C31" i="70"/>
  <c r="C32" i="70" s="1"/>
  <c r="C33" i="70" s="1"/>
  <c r="C35" i="70" s="1"/>
  <c r="C36" i="70" s="1"/>
  <c r="L30" i="51"/>
  <c r="H30" i="51"/>
  <c r="D30" i="51"/>
  <c r="K30" i="51"/>
  <c r="G30" i="51"/>
  <c r="C30" i="51"/>
  <c r="N30" i="51"/>
  <c r="J30" i="51"/>
  <c r="F30" i="51"/>
  <c r="M30" i="51"/>
  <c r="I30" i="51"/>
  <c r="E30" i="51"/>
  <c r="O26" i="51"/>
  <c r="K31" i="87"/>
  <c r="K32" i="87" s="1"/>
  <c r="K33" i="87" s="1"/>
  <c r="K35" i="87" s="1"/>
  <c r="I30" i="87"/>
  <c r="M30" i="87"/>
  <c r="H30" i="87"/>
  <c r="F30" i="87"/>
  <c r="G30" i="87"/>
  <c r="L30" i="87"/>
  <c r="D31" i="87"/>
  <c r="D32" i="87" s="1"/>
  <c r="D33" i="87" s="1"/>
  <c r="D35" i="87" s="1"/>
  <c r="D36" i="87" s="1"/>
  <c r="C31" i="87"/>
  <c r="C32" i="87"/>
  <c r="C33" i="87" s="1"/>
  <c r="C35" i="87" s="1"/>
  <c r="C36" i="87" s="1"/>
  <c r="E30" i="87"/>
  <c r="J30" i="87"/>
  <c r="L30" i="138"/>
  <c r="H30" i="138"/>
  <c r="D30" i="138"/>
  <c r="K30" i="138"/>
  <c r="G30" i="138"/>
  <c r="C30" i="138"/>
  <c r="N30" i="138"/>
  <c r="J30" i="138"/>
  <c r="F30" i="138"/>
  <c r="M30" i="138"/>
  <c r="I30" i="138"/>
  <c r="E30" i="138"/>
  <c r="O26" i="138"/>
  <c r="L30" i="58"/>
  <c r="H30" i="58"/>
  <c r="D30" i="58"/>
  <c r="N30" i="58"/>
  <c r="F30" i="58"/>
  <c r="M30" i="58"/>
  <c r="E30" i="58"/>
  <c r="K30" i="58"/>
  <c r="G30" i="58"/>
  <c r="C30" i="58"/>
  <c r="J30" i="58"/>
  <c r="I30" i="58"/>
  <c r="L30" i="72"/>
  <c r="H30" i="72"/>
  <c r="D30" i="72"/>
  <c r="M30" i="72"/>
  <c r="K30" i="72"/>
  <c r="G30" i="72"/>
  <c r="C30" i="72"/>
  <c r="E30" i="72"/>
  <c r="N30" i="72"/>
  <c r="J30" i="72"/>
  <c r="F30" i="72"/>
  <c r="I30" i="72"/>
  <c r="O26" i="72"/>
  <c r="L30" i="47"/>
  <c r="H30" i="47"/>
  <c r="D30" i="47"/>
  <c r="I30" i="47"/>
  <c r="K30" i="47"/>
  <c r="G30" i="47"/>
  <c r="C30" i="47"/>
  <c r="E30" i="47"/>
  <c r="N30" i="47"/>
  <c r="J30" i="47"/>
  <c r="F30" i="47"/>
  <c r="M30" i="47"/>
  <c r="O26" i="47"/>
  <c r="H31" i="71"/>
  <c r="H32" i="71" s="1"/>
  <c r="H33" i="71" s="1"/>
  <c r="H35" i="71" s="1"/>
  <c r="E30" i="71"/>
  <c r="J30" i="71"/>
  <c r="K30" i="71"/>
  <c r="L30" i="71"/>
  <c r="I30" i="71"/>
  <c r="N30" i="71"/>
  <c r="D30" i="71"/>
  <c r="O23" i="71"/>
  <c r="O26" i="71" s="1"/>
  <c r="F30" i="71"/>
  <c r="G30" i="71"/>
  <c r="M30" i="71"/>
  <c r="C31" i="71"/>
  <c r="C32" i="71" s="1"/>
  <c r="C33" i="71" s="1"/>
  <c r="C35" i="71" s="1"/>
  <c r="C36" i="71" s="1"/>
  <c r="L30" i="53"/>
  <c r="H30" i="53"/>
  <c r="D30" i="53"/>
  <c r="M30" i="53"/>
  <c r="K30" i="53"/>
  <c r="G30" i="53"/>
  <c r="C30" i="53"/>
  <c r="E30" i="53"/>
  <c r="N30" i="53"/>
  <c r="J30" i="53"/>
  <c r="F30" i="53"/>
  <c r="I30" i="53"/>
  <c r="O26" i="64"/>
  <c r="K30" i="64"/>
  <c r="G30" i="64"/>
  <c r="C30" i="64"/>
  <c r="H30" i="64"/>
  <c r="N30" i="64"/>
  <c r="J30" i="64"/>
  <c r="F30" i="64"/>
  <c r="L30" i="64"/>
  <c r="M30" i="64"/>
  <c r="I30" i="64"/>
  <c r="E30" i="64"/>
  <c r="D30" i="64"/>
  <c r="L30" i="49"/>
  <c r="H30" i="49"/>
  <c r="D30" i="49"/>
  <c r="K30" i="49"/>
  <c r="G30" i="49"/>
  <c r="C30" i="49"/>
  <c r="I30" i="49"/>
  <c r="N30" i="49"/>
  <c r="J30" i="49"/>
  <c r="F30" i="49"/>
  <c r="M30" i="49"/>
  <c r="E30" i="49"/>
  <c r="O26" i="49"/>
  <c r="K23" i="55"/>
  <c r="K26" i="55" s="1"/>
  <c r="K28" i="55" s="1"/>
  <c r="M28" i="117"/>
  <c r="M23" i="60"/>
  <c r="M26" i="60" s="1"/>
  <c r="M28" i="60" s="1"/>
  <c r="M28" i="95"/>
  <c r="H23" i="102"/>
  <c r="H26" i="102" s="1"/>
  <c r="H28" i="102" s="1"/>
  <c r="K23" i="96"/>
  <c r="K26" i="96" s="1"/>
  <c r="K28" i="96" s="1"/>
  <c r="L23" i="56"/>
  <c r="L26" i="56" s="1"/>
  <c r="L28" i="56" s="1"/>
  <c r="E28" i="54"/>
  <c r="M23" i="54"/>
  <c r="M26" i="54" s="1"/>
  <c r="M28" i="54" s="1"/>
  <c r="M23" i="67"/>
  <c r="M26" i="67" s="1"/>
  <c r="M28" i="67" s="1"/>
  <c r="M28" i="81"/>
  <c r="L23" i="102"/>
  <c r="L26" i="102" s="1"/>
  <c r="L28" i="102" s="1"/>
  <c r="M28" i="66"/>
  <c r="M28" i="83"/>
  <c r="G28" i="54"/>
  <c r="K28" i="54"/>
  <c r="M28" i="48"/>
  <c r="M23" i="81"/>
  <c r="M26" i="81" s="1"/>
  <c r="L28" i="61"/>
  <c r="N28" i="56"/>
  <c r="M23" i="55"/>
  <c r="M26" i="55" s="1"/>
  <c r="M28" i="55" s="1"/>
  <c r="M23" i="96"/>
  <c r="M26" i="96" s="1"/>
  <c r="M28" i="96" s="1"/>
  <c r="N28" i="96"/>
  <c r="L28" i="96"/>
  <c r="E28" i="63"/>
  <c r="G28" i="63"/>
  <c r="K28" i="63"/>
  <c r="E23" i="63"/>
  <c r="E26" i="63" s="1"/>
  <c r="I23" i="63"/>
  <c r="I26" i="63" s="1"/>
  <c r="I28" i="63" s="1"/>
  <c r="M23" i="63"/>
  <c r="M26" i="63" s="1"/>
  <c r="M28" i="63" s="1"/>
  <c r="F28" i="63"/>
  <c r="J28" i="63"/>
  <c r="N28" i="63"/>
  <c r="D28" i="63"/>
  <c r="H28" i="63"/>
  <c r="L28" i="63"/>
  <c r="K28" i="3"/>
  <c r="M23" i="3"/>
  <c r="M26" i="3" s="1"/>
  <c r="M28" i="3" s="1"/>
  <c r="N28" i="3"/>
  <c r="L28" i="3"/>
  <c r="N28" i="55"/>
  <c r="L28" i="55"/>
  <c r="M23" i="56"/>
  <c r="M26" i="56" s="1"/>
  <c r="M28" i="56" s="1"/>
  <c r="K28" i="56"/>
  <c r="M23" i="61"/>
  <c r="M26" i="61" s="1"/>
  <c r="M28" i="61" s="1"/>
  <c r="N28" i="61"/>
  <c r="K28" i="61"/>
  <c r="N28" i="81"/>
  <c r="K28" i="81"/>
  <c r="L28" i="81"/>
  <c r="N23" i="66"/>
  <c r="N26" i="66" s="1"/>
  <c r="N28" i="66" s="1"/>
  <c r="K28" i="66"/>
  <c r="L28" i="66"/>
  <c r="N28" i="67"/>
  <c r="K28" i="67"/>
  <c r="L28" i="67"/>
  <c r="I23" i="102"/>
  <c r="I26" i="102" s="1"/>
  <c r="I28" i="102" s="1"/>
  <c r="M23" i="102"/>
  <c r="M26" i="102" s="1"/>
  <c r="M28" i="102" s="1"/>
  <c r="F28" i="102"/>
  <c r="J28" i="102"/>
  <c r="N28" i="102"/>
  <c r="G28" i="102"/>
  <c r="K28" i="102"/>
  <c r="K23" i="48"/>
  <c r="K26" i="48" s="1"/>
  <c r="K28" i="48"/>
  <c r="L28" i="48"/>
  <c r="N28" i="95"/>
  <c r="K28" i="95"/>
  <c r="L28" i="95"/>
  <c r="I28" i="54"/>
  <c r="N28" i="54"/>
  <c r="F23" i="54"/>
  <c r="F26" i="54" s="1"/>
  <c r="F28" i="54" s="1"/>
  <c r="J23" i="54"/>
  <c r="J26" i="54" s="1"/>
  <c r="J28" i="54" s="1"/>
  <c r="H28" i="54"/>
  <c r="L28" i="54"/>
  <c r="K23" i="60"/>
  <c r="K26" i="60" s="1"/>
  <c r="K28" i="60" s="1"/>
  <c r="L28" i="60"/>
  <c r="N28" i="83"/>
  <c r="K23" i="83"/>
  <c r="K26" i="83" s="1"/>
  <c r="K28" i="83" s="1"/>
  <c r="L28" i="83"/>
  <c r="N28" i="117"/>
  <c r="K28" i="117"/>
  <c r="H28" i="117"/>
  <c r="L28" i="117"/>
  <c r="O25" i="84"/>
  <c r="M23" i="84"/>
  <c r="M26" i="84" s="1"/>
  <c r="N21" i="84"/>
  <c r="N23" i="84" s="1"/>
  <c r="N26" i="84" s="1"/>
  <c r="N28" i="84" s="1"/>
  <c r="M21" i="84"/>
  <c r="L21" i="84"/>
  <c r="L23" i="84" s="1"/>
  <c r="L26" i="84" s="1"/>
  <c r="K21" i="84"/>
  <c r="O9" i="84"/>
  <c r="N9" i="84"/>
  <c r="M9" i="84"/>
  <c r="L9" i="84"/>
  <c r="K9" i="84"/>
  <c r="J9" i="84"/>
  <c r="I9" i="84"/>
  <c r="H9" i="84"/>
  <c r="G9" i="84"/>
  <c r="F9" i="84"/>
  <c r="E9" i="84"/>
  <c r="D9" i="84"/>
  <c r="C9" i="84"/>
  <c r="N19" i="85"/>
  <c r="N21" i="85" s="1"/>
  <c r="N23" i="85" s="1"/>
  <c r="N26" i="85" s="1"/>
  <c r="N28" i="85" s="1"/>
  <c r="M19" i="85"/>
  <c r="M21" i="85" s="1"/>
  <c r="L19" i="85"/>
  <c r="L21" i="85" s="1"/>
  <c r="L23" i="85" s="1"/>
  <c r="L26" i="85" s="1"/>
  <c r="O13" i="85"/>
  <c r="O19" i="85" s="1"/>
  <c r="O21" i="85" s="1"/>
  <c r="O23" i="85" s="1"/>
  <c r="O9" i="85"/>
  <c r="N9" i="85"/>
  <c r="M9" i="85"/>
  <c r="L9" i="85"/>
  <c r="K9" i="85"/>
  <c r="J9" i="85"/>
  <c r="I9" i="85"/>
  <c r="H9" i="85"/>
  <c r="G9" i="85"/>
  <c r="F9" i="85"/>
  <c r="E9" i="85"/>
  <c r="D9" i="85"/>
  <c r="C9" i="85"/>
  <c r="F31" i="150" l="1"/>
  <c r="F32" i="150" s="1"/>
  <c r="F33" i="150" s="1"/>
  <c r="F35" i="150" s="1"/>
  <c r="C31" i="150"/>
  <c r="C32" i="150"/>
  <c r="C33" i="150" s="1"/>
  <c r="C35" i="150" s="1"/>
  <c r="C36" i="150" s="1"/>
  <c r="D31" i="150"/>
  <c r="D32" i="150"/>
  <c r="D33" i="150" s="1"/>
  <c r="D35" i="150" s="1"/>
  <c r="D36" i="150" s="1"/>
  <c r="I31" i="150"/>
  <c r="I32" i="150" s="1"/>
  <c r="I33" i="150" s="1"/>
  <c r="I35" i="150" s="1"/>
  <c r="J31" i="150"/>
  <c r="J32" i="150" s="1"/>
  <c r="J33" i="150" s="1"/>
  <c r="J35" i="150" s="1"/>
  <c r="G31" i="150"/>
  <c r="G32" i="150"/>
  <c r="G33" i="150" s="1"/>
  <c r="G35" i="150" s="1"/>
  <c r="H31" i="150"/>
  <c r="H32" i="150"/>
  <c r="H33" i="150" s="1"/>
  <c r="H35" i="150" s="1"/>
  <c r="E31" i="150"/>
  <c r="E32" i="150" s="1"/>
  <c r="E33" i="150" s="1"/>
  <c r="E35" i="150" s="1"/>
  <c r="E36" i="150" s="1"/>
  <c r="I31" i="149"/>
  <c r="I32" i="149" s="1"/>
  <c r="I33" i="149" s="1"/>
  <c r="I35" i="149" s="1"/>
  <c r="D31" i="149"/>
  <c r="D32" i="149" s="1"/>
  <c r="D33" i="149" s="1"/>
  <c r="D35" i="149" s="1"/>
  <c r="D36" i="149" s="1"/>
  <c r="C31" i="149"/>
  <c r="C32" i="149"/>
  <c r="C33" i="149" s="1"/>
  <c r="C35" i="149" s="1"/>
  <c r="C36" i="149" s="1"/>
  <c r="H31" i="149"/>
  <c r="H32" i="149" s="1"/>
  <c r="H33" i="149" s="1"/>
  <c r="H35" i="149" s="1"/>
  <c r="F31" i="149"/>
  <c r="F32" i="149" s="1"/>
  <c r="F33" i="149" s="1"/>
  <c r="F35" i="149" s="1"/>
  <c r="G31" i="149"/>
  <c r="G32" i="149"/>
  <c r="G33" i="149" s="1"/>
  <c r="G35" i="149" s="1"/>
  <c r="E31" i="149"/>
  <c r="E32" i="149" s="1"/>
  <c r="E33" i="149" s="1"/>
  <c r="E35" i="149" s="1"/>
  <c r="E36" i="149" s="1"/>
  <c r="J31" i="149"/>
  <c r="J32" i="149" s="1"/>
  <c r="J33" i="149" s="1"/>
  <c r="J35" i="149" s="1"/>
  <c r="E31" i="145"/>
  <c r="E32" i="145" s="1"/>
  <c r="E33" i="145" s="1"/>
  <c r="E35" i="145" s="1"/>
  <c r="F31" i="145"/>
  <c r="F32" i="145" s="1"/>
  <c r="F33" i="145" s="1"/>
  <c r="F35" i="145" s="1"/>
  <c r="C31" i="145"/>
  <c r="C32" i="145"/>
  <c r="C33" i="145" s="1"/>
  <c r="C35" i="145" s="1"/>
  <c r="C36" i="145" s="1"/>
  <c r="D31" i="145"/>
  <c r="D32" i="145" s="1"/>
  <c r="D33" i="145" s="1"/>
  <c r="D35" i="145" s="1"/>
  <c r="D36" i="145" s="1"/>
  <c r="M31" i="145"/>
  <c r="M32" i="145" s="1"/>
  <c r="M33" i="145" s="1"/>
  <c r="M35" i="145" s="1"/>
  <c r="J31" i="145"/>
  <c r="J32" i="145" s="1"/>
  <c r="J33" i="145" s="1"/>
  <c r="J35" i="145" s="1"/>
  <c r="G31" i="145"/>
  <c r="G32" i="145"/>
  <c r="G33" i="145" s="1"/>
  <c r="G35" i="145" s="1"/>
  <c r="H31" i="145"/>
  <c r="H32" i="145"/>
  <c r="H33" i="145" s="1"/>
  <c r="H35" i="145" s="1"/>
  <c r="I31" i="145"/>
  <c r="I32" i="145" s="1"/>
  <c r="I33" i="145" s="1"/>
  <c r="I35" i="145" s="1"/>
  <c r="O31" i="145"/>
  <c r="O32" i="145"/>
  <c r="O33" i="145" s="1"/>
  <c r="O35" i="145" s="1"/>
  <c r="N31" i="145"/>
  <c r="N32" i="145" s="1"/>
  <c r="N33" i="145" s="1"/>
  <c r="N35" i="145" s="1"/>
  <c r="K31" i="145"/>
  <c r="K32" i="145"/>
  <c r="K33" i="145" s="1"/>
  <c r="K35" i="145" s="1"/>
  <c r="L31" i="145"/>
  <c r="L32" i="145" s="1"/>
  <c r="L33" i="145" s="1"/>
  <c r="L35" i="145" s="1"/>
  <c r="M31" i="146"/>
  <c r="M32" i="146" s="1"/>
  <c r="M33" i="146" s="1"/>
  <c r="M35" i="146" s="1"/>
  <c r="J31" i="146"/>
  <c r="J32" i="146" s="1"/>
  <c r="J33" i="146" s="1"/>
  <c r="J35" i="146" s="1"/>
  <c r="G31" i="146"/>
  <c r="G32" i="146"/>
  <c r="G33" i="146" s="1"/>
  <c r="G35" i="146" s="1"/>
  <c r="D31" i="146"/>
  <c r="D32" i="146"/>
  <c r="D33" i="146" s="1"/>
  <c r="D35" i="146" s="1"/>
  <c r="D36" i="146" s="1"/>
  <c r="C31" i="146"/>
  <c r="C32" i="146"/>
  <c r="C33" i="146" s="1"/>
  <c r="C35" i="146" s="1"/>
  <c r="C36" i="146" s="1"/>
  <c r="N31" i="146"/>
  <c r="N32" i="146" s="1"/>
  <c r="N33" i="146" s="1"/>
  <c r="N35" i="146" s="1"/>
  <c r="K31" i="146"/>
  <c r="K32" i="146"/>
  <c r="K33" i="146" s="1"/>
  <c r="K35" i="146" s="1"/>
  <c r="H31" i="146"/>
  <c r="H32" i="146"/>
  <c r="H33" i="146" s="1"/>
  <c r="H35" i="146" s="1"/>
  <c r="F31" i="146"/>
  <c r="F32" i="146" s="1"/>
  <c r="F33" i="146" s="1"/>
  <c r="F35" i="146" s="1"/>
  <c r="O31" i="146"/>
  <c r="O32" i="146"/>
  <c r="O33" i="146" s="1"/>
  <c r="O35" i="146" s="1"/>
  <c r="I31" i="146"/>
  <c r="I32" i="146" s="1"/>
  <c r="I33" i="146" s="1"/>
  <c r="I35" i="146" s="1"/>
  <c r="E31" i="146"/>
  <c r="E32" i="146" s="1"/>
  <c r="E33" i="146" s="1"/>
  <c r="E35" i="146" s="1"/>
  <c r="E36" i="146" s="1"/>
  <c r="L31" i="146"/>
  <c r="L32" i="146"/>
  <c r="L33" i="146" s="1"/>
  <c r="L35" i="146" s="1"/>
  <c r="H30" i="144"/>
  <c r="D30" i="144"/>
  <c r="J30" i="144"/>
  <c r="I30" i="144"/>
  <c r="E30" i="144"/>
  <c r="G30" i="144"/>
  <c r="C30" i="144"/>
  <c r="F30" i="144"/>
  <c r="H31" i="148"/>
  <c r="H32" i="148" s="1"/>
  <c r="H33" i="148" s="1"/>
  <c r="H35" i="148" s="1"/>
  <c r="N31" i="148"/>
  <c r="N32" i="148" s="1"/>
  <c r="N33" i="148" s="1"/>
  <c r="N35" i="148" s="1"/>
  <c r="L31" i="148"/>
  <c r="L32" i="148" s="1"/>
  <c r="L33" i="148" s="1"/>
  <c r="L35" i="148" s="1"/>
  <c r="I31" i="148"/>
  <c r="I32" i="148" s="1"/>
  <c r="I33" i="148" s="1"/>
  <c r="I35" i="148" s="1"/>
  <c r="E32" i="148"/>
  <c r="E33" i="148" s="1"/>
  <c r="E35" i="148" s="1"/>
  <c r="E31" i="148"/>
  <c r="M31" i="148"/>
  <c r="M32" i="148" s="1"/>
  <c r="M33" i="148" s="1"/>
  <c r="M35" i="148" s="1"/>
  <c r="J32" i="148"/>
  <c r="J33" i="148" s="1"/>
  <c r="J35" i="148" s="1"/>
  <c r="J31" i="148"/>
  <c r="G31" i="148"/>
  <c r="G32" i="148"/>
  <c r="G33" i="148" s="1"/>
  <c r="G35" i="148" s="1"/>
  <c r="K31" i="148"/>
  <c r="K32" i="148" s="1"/>
  <c r="K33" i="148" s="1"/>
  <c r="K35" i="148" s="1"/>
  <c r="F31" i="148"/>
  <c r="F32" i="148" s="1"/>
  <c r="F33" i="148" s="1"/>
  <c r="F35" i="148" s="1"/>
  <c r="C31" i="148"/>
  <c r="C32" i="148" s="1"/>
  <c r="C33" i="148" s="1"/>
  <c r="C35" i="148" s="1"/>
  <c r="C36" i="148" s="1"/>
  <c r="D31" i="148"/>
  <c r="D32" i="148" s="1"/>
  <c r="D33" i="148" s="1"/>
  <c r="D35" i="148" s="1"/>
  <c r="D36" i="148" s="1"/>
  <c r="E32" i="147"/>
  <c r="E33" i="147" s="1"/>
  <c r="E35" i="147" s="1"/>
  <c r="E36" i="147" s="1"/>
  <c r="E31" i="147"/>
  <c r="F31" i="147"/>
  <c r="F32" i="147" s="1"/>
  <c r="F33" i="147" s="1"/>
  <c r="F35" i="147" s="1"/>
  <c r="F36" i="147" s="1"/>
  <c r="G36" i="147" s="1"/>
  <c r="I31" i="147"/>
  <c r="I32" i="147" s="1"/>
  <c r="I33" i="147" s="1"/>
  <c r="I35" i="147" s="1"/>
  <c r="H31" i="147"/>
  <c r="H32" i="147"/>
  <c r="H33" i="147" s="1"/>
  <c r="H35" i="147" s="1"/>
  <c r="J31" i="147"/>
  <c r="J32" i="147" s="1"/>
  <c r="J33" i="147" s="1"/>
  <c r="J35" i="147" s="1"/>
  <c r="H30" i="142"/>
  <c r="D30" i="142"/>
  <c r="F30" i="142"/>
  <c r="E30" i="142"/>
  <c r="G30" i="142"/>
  <c r="C30" i="142"/>
  <c r="J30" i="142"/>
  <c r="I30" i="142"/>
  <c r="H31" i="141"/>
  <c r="H32" i="141" s="1"/>
  <c r="H33" i="141" s="1"/>
  <c r="H35" i="141" s="1"/>
  <c r="J31" i="141"/>
  <c r="J32" i="141" s="1"/>
  <c r="J33" i="141" s="1"/>
  <c r="J35" i="141" s="1"/>
  <c r="I31" i="141"/>
  <c r="I32" i="141" s="1"/>
  <c r="I33" i="141" s="1"/>
  <c r="I35" i="141" s="1"/>
  <c r="E31" i="141"/>
  <c r="E32" i="141" s="1"/>
  <c r="E33" i="141" s="1"/>
  <c r="E35" i="141" s="1"/>
  <c r="E36" i="141" s="1"/>
  <c r="G31" i="141"/>
  <c r="G32" i="141"/>
  <c r="G33" i="141" s="1"/>
  <c r="G35" i="141" s="1"/>
  <c r="F31" i="141"/>
  <c r="F32" i="141" s="1"/>
  <c r="F33" i="141" s="1"/>
  <c r="F35" i="141" s="1"/>
  <c r="C31" i="141"/>
  <c r="C32" i="141"/>
  <c r="C33" i="141" s="1"/>
  <c r="C35" i="141" s="1"/>
  <c r="C36" i="141" s="1"/>
  <c r="D31" i="141"/>
  <c r="D32" i="141"/>
  <c r="D33" i="141" s="1"/>
  <c r="D35" i="141" s="1"/>
  <c r="D36" i="141" s="1"/>
  <c r="M31" i="140"/>
  <c r="M32" i="140" s="1"/>
  <c r="M33" i="140" s="1"/>
  <c r="M35" i="140" s="1"/>
  <c r="D31" i="140"/>
  <c r="D32" i="140"/>
  <c r="D33" i="140" s="1"/>
  <c r="D35" i="140" s="1"/>
  <c r="J31" i="140"/>
  <c r="J32" i="140" s="1"/>
  <c r="J33" i="140" s="1"/>
  <c r="J35" i="140" s="1"/>
  <c r="I31" i="140"/>
  <c r="I32" i="140"/>
  <c r="I33" i="140" s="1"/>
  <c r="I35" i="140" s="1"/>
  <c r="H31" i="140"/>
  <c r="H32" i="140" s="1"/>
  <c r="H33" i="140" s="1"/>
  <c r="H35" i="140" s="1"/>
  <c r="E31" i="140"/>
  <c r="E32" i="140" s="1"/>
  <c r="E33" i="140" s="1"/>
  <c r="E35" i="140" s="1"/>
  <c r="G31" i="140"/>
  <c r="G32" i="140"/>
  <c r="G33" i="140" s="1"/>
  <c r="G35" i="140" s="1"/>
  <c r="N31" i="140"/>
  <c r="N32" i="140" s="1"/>
  <c r="N33" i="140" s="1"/>
  <c r="N35" i="140" s="1"/>
  <c r="K31" i="140"/>
  <c r="K32" i="140"/>
  <c r="K33" i="140" s="1"/>
  <c r="K35" i="140" s="1"/>
  <c r="C31" i="140"/>
  <c r="C32" i="140"/>
  <c r="C33" i="140" s="1"/>
  <c r="C35" i="140" s="1"/>
  <c r="C36" i="140" s="1"/>
  <c r="F31" i="140"/>
  <c r="F32" i="140" s="1"/>
  <c r="F33" i="140" s="1"/>
  <c r="F35" i="140" s="1"/>
  <c r="L31" i="140"/>
  <c r="L32" i="140" s="1"/>
  <c r="L33" i="140" s="1"/>
  <c r="L35" i="140" s="1"/>
  <c r="I31" i="139"/>
  <c r="I32" i="139" s="1"/>
  <c r="I33" i="139" s="1"/>
  <c r="I35" i="139" s="1"/>
  <c r="F31" i="139"/>
  <c r="F32" i="139" s="1"/>
  <c r="F33" i="139" s="1"/>
  <c r="F35" i="139" s="1"/>
  <c r="C31" i="139"/>
  <c r="C32" i="139"/>
  <c r="C33" i="139" s="1"/>
  <c r="C35" i="139" s="1"/>
  <c r="C36" i="139" s="1"/>
  <c r="D31" i="139"/>
  <c r="D32" i="139" s="1"/>
  <c r="D33" i="139" s="1"/>
  <c r="D35" i="139" s="1"/>
  <c r="D36" i="139" s="1"/>
  <c r="M31" i="139"/>
  <c r="M32" i="139" s="1"/>
  <c r="M33" i="139" s="1"/>
  <c r="M35" i="139" s="1"/>
  <c r="J31" i="139"/>
  <c r="J32" i="139" s="1"/>
  <c r="J33" i="139" s="1"/>
  <c r="J35" i="139" s="1"/>
  <c r="G31" i="139"/>
  <c r="G32" i="139"/>
  <c r="G33" i="139" s="1"/>
  <c r="G35" i="139" s="1"/>
  <c r="H31" i="139"/>
  <c r="H32" i="139"/>
  <c r="H33" i="139" s="1"/>
  <c r="H35" i="139" s="1"/>
  <c r="E31" i="139"/>
  <c r="E32" i="139" s="1"/>
  <c r="E33" i="139" s="1"/>
  <c r="E35" i="139" s="1"/>
  <c r="E36" i="139" s="1"/>
  <c r="N31" i="139"/>
  <c r="N32" i="139" s="1"/>
  <c r="N33" i="139" s="1"/>
  <c r="N35" i="139" s="1"/>
  <c r="K31" i="139"/>
  <c r="K32" i="139"/>
  <c r="K33" i="139" s="1"/>
  <c r="K35" i="139" s="1"/>
  <c r="L31" i="139"/>
  <c r="L32" i="139"/>
  <c r="L33" i="139" s="1"/>
  <c r="L35" i="139" s="1"/>
  <c r="C31" i="137"/>
  <c r="C32" i="137" s="1"/>
  <c r="C33" i="137" s="1"/>
  <c r="C35" i="137" s="1"/>
  <c r="C36" i="137" s="1"/>
  <c r="J31" i="137"/>
  <c r="J32" i="137" s="1"/>
  <c r="J33" i="137" s="1"/>
  <c r="J35" i="137" s="1"/>
  <c r="H32" i="137"/>
  <c r="H33" i="137" s="1"/>
  <c r="H35" i="137" s="1"/>
  <c r="H31" i="137"/>
  <c r="N31" i="137"/>
  <c r="N32" i="137" s="1"/>
  <c r="N33" i="137" s="1"/>
  <c r="N35" i="137" s="1"/>
  <c r="K31" i="137"/>
  <c r="K32" i="137" s="1"/>
  <c r="K33" i="137" s="1"/>
  <c r="K35" i="137" s="1"/>
  <c r="L31" i="137"/>
  <c r="L32" i="137" s="1"/>
  <c r="L33" i="137" s="1"/>
  <c r="L35" i="137" s="1"/>
  <c r="F32" i="137"/>
  <c r="F33" i="137" s="1"/>
  <c r="F35" i="137" s="1"/>
  <c r="F31" i="137"/>
  <c r="D31" i="137"/>
  <c r="D32" i="137"/>
  <c r="D33" i="137" s="1"/>
  <c r="D35" i="137" s="1"/>
  <c r="G31" i="137"/>
  <c r="G32" i="137" s="1"/>
  <c r="G33" i="137" s="1"/>
  <c r="G35" i="137" s="1"/>
  <c r="I31" i="137"/>
  <c r="I32" i="137" s="1"/>
  <c r="I33" i="137" s="1"/>
  <c r="I35" i="137" s="1"/>
  <c r="E32" i="137"/>
  <c r="E33" i="137" s="1"/>
  <c r="E35" i="137" s="1"/>
  <c r="E31" i="137"/>
  <c r="M31" i="137"/>
  <c r="M32" i="137" s="1"/>
  <c r="M33" i="137" s="1"/>
  <c r="M35" i="137" s="1"/>
  <c r="O31" i="137"/>
  <c r="O32" i="137" s="1"/>
  <c r="O33" i="137" s="1"/>
  <c r="O35" i="137" s="1"/>
  <c r="I31" i="135"/>
  <c r="I32" i="135" s="1"/>
  <c r="I33" i="135" s="1"/>
  <c r="I35" i="135" s="1"/>
  <c r="M31" i="135"/>
  <c r="M32" i="135" s="1"/>
  <c r="M33" i="135" s="1"/>
  <c r="M35" i="135" s="1"/>
  <c r="E31" i="135"/>
  <c r="E32" i="135" s="1"/>
  <c r="E33" i="135" s="1"/>
  <c r="E35" i="135" s="1"/>
  <c r="O31" i="135"/>
  <c r="O32" i="135" s="1"/>
  <c r="O33" i="135" s="1"/>
  <c r="O35" i="135" s="1"/>
  <c r="F31" i="135"/>
  <c r="F32" i="135" s="1"/>
  <c r="F33" i="135" s="1"/>
  <c r="F35" i="135" s="1"/>
  <c r="C31" i="135"/>
  <c r="C32" i="135"/>
  <c r="C33" i="135" s="1"/>
  <c r="C35" i="135" s="1"/>
  <c r="C36" i="135" s="1"/>
  <c r="D31" i="135"/>
  <c r="D32" i="135"/>
  <c r="D33" i="135" s="1"/>
  <c r="D35" i="135" s="1"/>
  <c r="J31" i="135"/>
  <c r="J32" i="135" s="1"/>
  <c r="J33" i="135" s="1"/>
  <c r="J35" i="135" s="1"/>
  <c r="G31" i="135"/>
  <c r="G32" i="135"/>
  <c r="G33" i="135" s="1"/>
  <c r="G35" i="135" s="1"/>
  <c r="H31" i="135"/>
  <c r="H32" i="135" s="1"/>
  <c r="H33" i="135" s="1"/>
  <c r="H35" i="135" s="1"/>
  <c r="N31" i="135"/>
  <c r="N32" i="135" s="1"/>
  <c r="N33" i="135" s="1"/>
  <c r="N35" i="135" s="1"/>
  <c r="K31" i="135"/>
  <c r="K32" i="135"/>
  <c r="K33" i="135" s="1"/>
  <c r="K35" i="135" s="1"/>
  <c r="L31" i="135"/>
  <c r="L32" i="135"/>
  <c r="L33" i="135" s="1"/>
  <c r="L35" i="135" s="1"/>
  <c r="L30" i="134"/>
  <c r="H30" i="134"/>
  <c r="D30" i="134"/>
  <c r="N30" i="134"/>
  <c r="M30" i="134"/>
  <c r="E30" i="134"/>
  <c r="K30" i="134"/>
  <c r="G30" i="134"/>
  <c r="C30" i="134"/>
  <c r="J30" i="134"/>
  <c r="F30" i="134"/>
  <c r="I30" i="134"/>
  <c r="O31" i="134"/>
  <c r="O32" i="134" s="1"/>
  <c r="O33" i="134" s="1"/>
  <c r="O35" i="134" s="1"/>
  <c r="L31" i="132"/>
  <c r="L32" i="132" s="1"/>
  <c r="L33" i="132" s="1"/>
  <c r="L35" i="132" s="1"/>
  <c r="G31" i="132"/>
  <c r="G32" i="132" s="1"/>
  <c r="G33" i="132" s="1"/>
  <c r="G35" i="132" s="1"/>
  <c r="K31" i="132"/>
  <c r="K32" i="132"/>
  <c r="K33" i="132" s="1"/>
  <c r="K35" i="132" s="1"/>
  <c r="J32" i="132"/>
  <c r="J33" i="132" s="1"/>
  <c r="J35" i="132" s="1"/>
  <c r="J31" i="132"/>
  <c r="F31" i="132"/>
  <c r="F32" i="132" s="1"/>
  <c r="F33" i="132" s="1"/>
  <c r="F35" i="132" s="1"/>
  <c r="M31" i="132"/>
  <c r="M32" i="132" s="1"/>
  <c r="M33" i="132" s="1"/>
  <c r="M35" i="132" s="1"/>
  <c r="N31" i="132"/>
  <c r="N32" i="132" s="1"/>
  <c r="N33" i="132" s="1"/>
  <c r="N35" i="132" s="1"/>
  <c r="D31" i="132"/>
  <c r="D32" i="132" s="1"/>
  <c r="D33" i="132" s="1"/>
  <c r="D35" i="132" s="1"/>
  <c r="D36" i="132" s="1"/>
  <c r="H31" i="132"/>
  <c r="H32" i="132" s="1"/>
  <c r="H33" i="132" s="1"/>
  <c r="H35" i="132" s="1"/>
  <c r="E31" i="132"/>
  <c r="E32" i="132" s="1"/>
  <c r="E33" i="132" s="1"/>
  <c r="E35" i="132" s="1"/>
  <c r="E36" i="132" s="1"/>
  <c r="J31" i="130"/>
  <c r="J32" i="130" s="1"/>
  <c r="J33" i="130" s="1"/>
  <c r="J35" i="130" s="1"/>
  <c r="H31" i="130"/>
  <c r="H32" i="130"/>
  <c r="H33" i="130" s="1"/>
  <c r="H35" i="130" s="1"/>
  <c r="N31" i="130"/>
  <c r="N32" i="130" s="1"/>
  <c r="N33" i="130" s="1"/>
  <c r="N35" i="130" s="1"/>
  <c r="K31" i="130"/>
  <c r="K32" i="130"/>
  <c r="K33" i="130" s="1"/>
  <c r="K35" i="130" s="1"/>
  <c r="L31" i="130"/>
  <c r="L32" i="130" s="1"/>
  <c r="L33" i="130" s="1"/>
  <c r="L35" i="130" s="1"/>
  <c r="G31" i="130"/>
  <c r="G32" i="130"/>
  <c r="G33" i="130" s="1"/>
  <c r="G35" i="130" s="1"/>
  <c r="I31" i="130"/>
  <c r="I32" i="130" s="1"/>
  <c r="I33" i="130" s="1"/>
  <c r="I35" i="130" s="1"/>
  <c r="M31" i="130"/>
  <c r="M32" i="130" s="1"/>
  <c r="M33" i="130" s="1"/>
  <c r="M35" i="130" s="1"/>
  <c r="E31" i="130"/>
  <c r="E32" i="130" s="1"/>
  <c r="E33" i="130" s="1"/>
  <c r="E35" i="130" s="1"/>
  <c r="E36" i="130" s="1"/>
  <c r="F31" i="130"/>
  <c r="F32" i="130" s="1"/>
  <c r="F33" i="130" s="1"/>
  <c r="F35" i="130" s="1"/>
  <c r="C31" i="130"/>
  <c r="C32" i="130"/>
  <c r="C33" i="130" s="1"/>
  <c r="C35" i="130" s="1"/>
  <c r="C36" i="130" s="1"/>
  <c r="D31" i="130"/>
  <c r="D32" i="130" s="1"/>
  <c r="D33" i="130" s="1"/>
  <c r="D35" i="130" s="1"/>
  <c r="D36" i="130" s="1"/>
  <c r="I31" i="129"/>
  <c r="I32" i="129" s="1"/>
  <c r="I33" i="129" s="1"/>
  <c r="I35" i="129" s="1"/>
  <c r="F31" i="129"/>
  <c r="F32" i="129" s="1"/>
  <c r="F33" i="129" s="1"/>
  <c r="F35" i="129" s="1"/>
  <c r="C31" i="129"/>
  <c r="C32" i="129" s="1"/>
  <c r="C33" i="129" s="1"/>
  <c r="C35" i="129" s="1"/>
  <c r="C36" i="129" s="1"/>
  <c r="D31" i="129"/>
  <c r="D32" i="129" s="1"/>
  <c r="D33" i="129" s="1"/>
  <c r="D35" i="129" s="1"/>
  <c r="D36" i="129" s="1"/>
  <c r="M31" i="129"/>
  <c r="M32" i="129" s="1"/>
  <c r="M33" i="129" s="1"/>
  <c r="M35" i="129" s="1"/>
  <c r="J31" i="129"/>
  <c r="J32" i="129" s="1"/>
  <c r="J33" i="129" s="1"/>
  <c r="J35" i="129" s="1"/>
  <c r="G31" i="129"/>
  <c r="G32" i="129" s="1"/>
  <c r="G33" i="129" s="1"/>
  <c r="G35" i="129" s="1"/>
  <c r="H31" i="129"/>
  <c r="H32" i="129"/>
  <c r="H33" i="129" s="1"/>
  <c r="H35" i="129" s="1"/>
  <c r="E31" i="129"/>
  <c r="E32" i="129" s="1"/>
  <c r="E33" i="129" s="1"/>
  <c r="E35" i="129" s="1"/>
  <c r="N31" i="129"/>
  <c r="N32" i="129" s="1"/>
  <c r="N33" i="129" s="1"/>
  <c r="N35" i="129" s="1"/>
  <c r="K31" i="129"/>
  <c r="K32" i="129" s="1"/>
  <c r="K33" i="129" s="1"/>
  <c r="K35" i="129" s="1"/>
  <c r="L31" i="129"/>
  <c r="L32" i="129"/>
  <c r="L33" i="129" s="1"/>
  <c r="L35" i="129" s="1"/>
  <c r="L30" i="128"/>
  <c r="H30" i="128"/>
  <c r="D30" i="128"/>
  <c r="N30" i="128"/>
  <c r="F30" i="128"/>
  <c r="M30" i="128"/>
  <c r="E30" i="128"/>
  <c r="K30" i="128"/>
  <c r="G30" i="128"/>
  <c r="C30" i="128"/>
  <c r="J30" i="128"/>
  <c r="I30" i="128"/>
  <c r="L30" i="127"/>
  <c r="H30" i="127"/>
  <c r="D30" i="127"/>
  <c r="J30" i="127"/>
  <c r="F30" i="127"/>
  <c r="I30" i="127"/>
  <c r="E30" i="127"/>
  <c r="K30" i="127"/>
  <c r="G30" i="127"/>
  <c r="C30" i="127"/>
  <c r="N30" i="127"/>
  <c r="M30" i="127"/>
  <c r="L30" i="125"/>
  <c r="H30" i="125"/>
  <c r="D30" i="125"/>
  <c r="N30" i="125"/>
  <c r="I30" i="125"/>
  <c r="K30" i="125"/>
  <c r="G30" i="125"/>
  <c r="C30" i="125"/>
  <c r="J30" i="125"/>
  <c r="F30" i="125"/>
  <c r="M30" i="125"/>
  <c r="E30" i="125"/>
  <c r="O31" i="125"/>
  <c r="O32" i="125" s="1"/>
  <c r="O33" i="125" s="1"/>
  <c r="O35" i="125" s="1"/>
  <c r="D36" i="124"/>
  <c r="L31" i="124"/>
  <c r="L32" i="124" s="1"/>
  <c r="L33" i="124" s="1"/>
  <c r="L35" i="124" s="1"/>
  <c r="G31" i="124"/>
  <c r="G32" i="124"/>
  <c r="G33" i="124" s="1"/>
  <c r="G35" i="124" s="1"/>
  <c r="I32" i="124"/>
  <c r="I33" i="124" s="1"/>
  <c r="I35" i="124" s="1"/>
  <c r="I31" i="124"/>
  <c r="K31" i="124"/>
  <c r="K32" i="124"/>
  <c r="K33" i="124" s="1"/>
  <c r="K35" i="124" s="1"/>
  <c r="J32" i="124"/>
  <c r="J33" i="124" s="1"/>
  <c r="J35" i="124" s="1"/>
  <c r="J31" i="124"/>
  <c r="M31" i="124"/>
  <c r="M32" i="124" s="1"/>
  <c r="M33" i="124" s="1"/>
  <c r="M35" i="124" s="1"/>
  <c r="N32" i="124"/>
  <c r="N33" i="124" s="1"/>
  <c r="N35" i="124" s="1"/>
  <c r="N31" i="124"/>
  <c r="F31" i="124"/>
  <c r="F32" i="124" s="1"/>
  <c r="F33" i="124" s="1"/>
  <c r="F35" i="124" s="1"/>
  <c r="F36" i="124" s="1"/>
  <c r="E32" i="124"/>
  <c r="E33" i="124" s="1"/>
  <c r="E35" i="124" s="1"/>
  <c r="E36" i="124" s="1"/>
  <c r="E31" i="124"/>
  <c r="H31" i="124"/>
  <c r="H32" i="124" s="1"/>
  <c r="H33" i="124" s="1"/>
  <c r="H35" i="124" s="1"/>
  <c r="J31" i="122"/>
  <c r="J32" i="122" s="1"/>
  <c r="J33" i="122" s="1"/>
  <c r="J35" i="122" s="1"/>
  <c r="I31" i="122"/>
  <c r="I32" i="122" s="1"/>
  <c r="I33" i="122" s="1"/>
  <c r="I35" i="122" s="1"/>
  <c r="N31" i="122"/>
  <c r="N32" i="122" s="1"/>
  <c r="N33" i="122" s="1"/>
  <c r="N35" i="122" s="1"/>
  <c r="D31" i="122"/>
  <c r="D32" i="122" s="1"/>
  <c r="D33" i="122" s="1"/>
  <c r="D35" i="122" s="1"/>
  <c r="D36" i="122" s="1"/>
  <c r="K31" i="122"/>
  <c r="K32" i="122"/>
  <c r="K33" i="122" s="1"/>
  <c r="K35" i="122" s="1"/>
  <c r="M31" i="122"/>
  <c r="M32" i="122" s="1"/>
  <c r="M33" i="122" s="1"/>
  <c r="M35" i="122" s="1"/>
  <c r="C31" i="122"/>
  <c r="C32" i="122"/>
  <c r="C33" i="122" s="1"/>
  <c r="C35" i="122" s="1"/>
  <c r="C36" i="122" s="1"/>
  <c r="H31" i="122"/>
  <c r="H32" i="122" s="1"/>
  <c r="H33" i="122" s="1"/>
  <c r="H35" i="122" s="1"/>
  <c r="E31" i="122"/>
  <c r="E32" i="122" s="1"/>
  <c r="E33" i="122" s="1"/>
  <c r="E35" i="122" s="1"/>
  <c r="O31" i="122"/>
  <c r="O32" i="122" s="1"/>
  <c r="O33" i="122" s="1"/>
  <c r="O35" i="122" s="1"/>
  <c r="F31" i="122"/>
  <c r="F32" i="122" s="1"/>
  <c r="F33" i="122" s="1"/>
  <c r="F35" i="122" s="1"/>
  <c r="G31" i="122"/>
  <c r="G32" i="122"/>
  <c r="G33" i="122" s="1"/>
  <c r="G35" i="122" s="1"/>
  <c r="L31" i="122"/>
  <c r="L32" i="122" s="1"/>
  <c r="L33" i="122" s="1"/>
  <c r="L35" i="122" s="1"/>
  <c r="L30" i="90"/>
  <c r="H30" i="90"/>
  <c r="D30" i="90"/>
  <c r="J30" i="90"/>
  <c r="M30" i="90"/>
  <c r="E30" i="90"/>
  <c r="K30" i="90"/>
  <c r="G30" i="90"/>
  <c r="C30" i="90"/>
  <c r="N30" i="90"/>
  <c r="F30" i="90"/>
  <c r="I30" i="90"/>
  <c r="L30" i="105"/>
  <c r="H30" i="105"/>
  <c r="D30" i="105"/>
  <c r="N30" i="105"/>
  <c r="F30" i="105"/>
  <c r="I30" i="105"/>
  <c r="K30" i="105"/>
  <c r="G30" i="105"/>
  <c r="C30" i="105"/>
  <c r="J30" i="105"/>
  <c r="M30" i="105"/>
  <c r="E30" i="105"/>
  <c r="O31" i="105"/>
  <c r="O32" i="105" s="1"/>
  <c r="O33" i="105" s="1"/>
  <c r="O35" i="105" s="1"/>
  <c r="E31" i="106"/>
  <c r="E32" i="106" s="1"/>
  <c r="E33" i="106" s="1"/>
  <c r="E35" i="106" s="1"/>
  <c r="F31" i="106"/>
  <c r="F32" i="106" s="1"/>
  <c r="F33" i="106" s="1"/>
  <c r="F35" i="106" s="1"/>
  <c r="C31" i="106"/>
  <c r="C32" i="106"/>
  <c r="C33" i="106" s="1"/>
  <c r="C35" i="106" s="1"/>
  <c r="C36" i="106" s="1"/>
  <c r="D31" i="106"/>
  <c r="D32" i="106" s="1"/>
  <c r="D33" i="106" s="1"/>
  <c r="D35" i="106" s="1"/>
  <c r="D36" i="106" s="1"/>
  <c r="I31" i="106"/>
  <c r="I32" i="106" s="1"/>
  <c r="I33" i="106" s="1"/>
  <c r="I35" i="106" s="1"/>
  <c r="J31" i="106"/>
  <c r="J32" i="106" s="1"/>
  <c r="J33" i="106" s="1"/>
  <c r="J35" i="106" s="1"/>
  <c r="G31" i="106"/>
  <c r="G32" i="106"/>
  <c r="G33" i="106" s="1"/>
  <c r="G35" i="106" s="1"/>
  <c r="H31" i="106"/>
  <c r="H32" i="106"/>
  <c r="H33" i="106" s="1"/>
  <c r="H35" i="106" s="1"/>
  <c r="M31" i="106"/>
  <c r="M32" i="106" s="1"/>
  <c r="M33" i="106" s="1"/>
  <c r="M35" i="106" s="1"/>
  <c r="N31" i="106"/>
  <c r="N32" i="106" s="1"/>
  <c r="N33" i="106" s="1"/>
  <c r="N35" i="106" s="1"/>
  <c r="K31" i="106"/>
  <c r="K32" i="106"/>
  <c r="K33" i="106" s="1"/>
  <c r="K35" i="106" s="1"/>
  <c r="L31" i="106"/>
  <c r="L32" i="106" s="1"/>
  <c r="L33" i="106" s="1"/>
  <c r="L35" i="106" s="1"/>
  <c r="E31" i="57"/>
  <c r="E32" i="57" s="1"/>
  <c r="E33" i="57" s="1"/>
  <c r="E35" i="57" s="1"/>
  <c r="E36" i="57" s="1"/>
  <c r="J31" i="57"/>
  <c r="J32" i="57" s="1"/>
  <c r="J33" i="57" s="1"/>
  <c r="J35" i="57" s="1"/>
  <c r="K31" i="57"/>
  <c r="K32" i="57" s="1"/>
  <c r="K33" i="57" s="1"/>
  <c r="K35" i="57" s="1"/>
  <c r="I31" i="57"/>
  <c r="I32" i="57" s="1"/>
  <c r="I33" i="57" s="1"/>
  <c r="I35" i="57" s="1"/>
  <c r="N31" i="57"/>
  <c r="N32" i="57" s="1"/>
  <c r="N33" i="57" s="1"/>
  <c r="N35" i="57" s="1"/>
  <c r="D31" i="57"/>
  <c r="D32" i="57" s="1"/>
  <c r="D33" i="57" s="1"/>
  <c r="D35" i="57" s="1"/>
  <c r="D36" i="57" s="1"/>
  <c r="M31" i="57"/>
  <c r="M32" i="57" s="1"/>
  <c r="M33" i="57" s="1"/>
  <c r="M35" i="57" s="1"/>
  <c r="C31" i="57"/>
  <c r="C32" i="57"/>
  <c r="C33" i="57" s="1"/>
  <c r="C35" i="57" s="1"/>
  <c r="C36" i="57" s="1"/>
  <c r="H31" i="57"/>
  <c r="H32" i="57" s="1"/>
  <c r="H33" i="57" s="1"/>
  <c r="H35" i="57" s="1"/>
  <c r="F31" i="57"/>
  <c r="F32" i="57" s="1"/>
  <c r="F33" i="57" s="1"/>
  <c r="F35" i="57" s="1"/>
  <c r="F36" i="57" s="1"/>
  <c r="G31" i="57"/>
  <c r="G32" i="57"/>
  <c r="G33" i="57" s="1"/>
  <c r="G35" i="57" s="1"/>
  <c r="L31" i="57"/>
  <c r="L32" i="57" s="1"/>
  <c r="L33" i="57" s="1"/>
  <c r="L35" i="57" s="1"/>
  <c r="J32" i="69"/>
  <c r="J33" i="69" s="1"/>
  <c r="J35" i="69" s="1"/>
  <c r="J31" i="69"/>
  <c r="E31" i="69"/>
  <c r="E32" i="69" s="1"/>
  <c r="E33" i="69" s="1"/>
  <c r="E35" i="69" s="1"/>
  <c r="F31" i="69"/>
  <c r="F32" i="69" s="1"/>
  <c r="F33" i="69" s="1"/>
  <c r="F35" i="69" s="1"/>
  <c r="L31" i="69"/>
  <c r="L32" i="69" s="1"/>
  <c r="L33" i="69" s="1"/>
  <c r="L35" i="69" s="1"/>
  <c r="D31" i="69"/>
  <c r="D32" i="69" s="1"/>
  <c r="D33" i="69" s="1"/>
  <c r="D35" i="69" s="1"/>
  <c r="D36" i="69" s="1"/>
  <c r="M31" i="69"/>
  <c r="M32" i="69" s="1"/>
  <c r="M33" i="69" s="1"/>
  <c r="M35" i="69" s="1"/>
  <c r="K31" i="69"/>
  <c r="K32" i="69" s="1"/>
  <c r="K33" i="69" s="1"/>
  <c r="K35" i="69" s="1"/>
  <c r="G31" i="69"/>
  <c r="G32" i="69" s="1"/>
  <c r="G33" i="69" s="1"/>
  <c r="G35" i="69" s="1"/>
  <c r="I31" i="69"/>
  <c r="I32" i="69" s="1"/>
  <c r="I33" i="69" s="1"/>
  <c r="I35" i="69" s="1"/>
  <c r="N31" i="69"/>
  <c r="N32" i="69" s="1"/>
  <c r="N33" i="69" s="1"/>
  <c r="N35" i="69" s="1"/>
  <c r="I31" i="76"/>
  <c r="I32" i="76" s="1"/>
  <c r="I33" i="76" s="1"/>
  <c r="I35" i="76" s="1"/>
  <c r="F31" i="76"/>
  <c r="F32" i="76" s="1"/>
  <c r="F33" i="76" s="1"/>
  <c r="F35" i="76" s="1"/>
  <c r="C31" i="76"/>
  <c r="C32" i="76"/>
  <c r="C33" i="76" s="1"/>
  <c r="C35" i="76" s="1"/>
  <c r="C36" i="76" s="1"/>
  <c r="D31" i="76"/>
  <c r="D32" i="76" s="1"/>
  <c r="D33" i="76" s="1"/>
  <c r="D35" i="76" s="1"/>
  <c r="D36" i="76" s="1"/>
  <c r="M31" i="76"/>
  <c r="M32" i="76" s="1"/>
  <c r="M33" i="76" s="1"/>
  <c r="M35" i="76" s="1"/>
  <c r="J31" i="76"/>
  <c r="J32" i="76" s="1"/>
  <c r="J33" i="76" s="1"/>
  <c r="J35" i="76" s="1"/>
  <c r="G31" i="76"/>
  <c r="G32" i="76"/>
  <c r="G33" i="76" s="1"/>
  <c r="G35" i="76" s="1"/>
  <c r="H31" i="76"/>
  <c r="H32" i="76"/>
  <c r="H33" i="76" s="1"/>
  <c r="H35" i="76" s="1"/>
  <c r="E31" i="76"/>
  <c r="E32" i="76" s="1"/>
  <c r="E33" i="76" s="1"/>
  <c r="E35" i="76" s="1"/>
  <c r="E36" i="76" s="1"/>
  <c r="N31" i="76"/>
  <c r="N32" i="76" s="1"/>
  <c r="N33" i="76" s="1"/>
  <c r="N35" i="76" s="1"/>
  <c r="K31" i="76"/>
  <c r="K32" i="76"/>
  <c r="K33" i="76" s="1"/>
  <c r="K35" i="76" s="1"/>
  <c r="L31" i="76"/>
  <c r="L32" i="76" s="1"/>
  <c r="L33" i="76" s="1"/>
  <c r="L35" i="76" s="1"/>
  <c r="L31" i="97"/>
  <c r="L32" i="97" s="1"/>
  <c r="L33" i="97" s="1"/>
  <c r="L35" i="97" s="1"/>
  <c r="C31" i="97"/>
  <c r="C32" i="97"/>
  <c r="C33" i="97" s="1"/>
  <c r="C35" i="97" s="1"/>
  <c r="C36" i="97" s="1"/>
  <c r="I32" i="97"/>
  <c r="I33" i="97" s="1"/>
  <c r="I35" i="97" s="1"/>
  <c r="I31" i="97"/>
  <c r="H31" i="97"/>
  <c r="H32" i="97" s="1"/>
  <c r="H33" i="97" s="1"/>
  <c r="H35" i="97" s="1"/>
  <c r="G31" i="97"/>
  <c r="G32" i="97" s="1"/>
  <c r="G33" i="97" s="1"/>
  <c r="G35" i="97" s="1"/>
  <c r="F31" i="97"/>
  <c r="F32" i="97" s="1"/>
  <c r="F33" i="97" s="1"/>
  <c r="F35" i="97" s="1"/>
  <c r="F36" i="97" s="1"/>
  <c r="M31" i="97"/>
  <c r="M32" i="97" s="1"/>
  <c r="M33" i="97" s="1"/>
  <c r="M35" i="97" s="1"/>
  <c r="K31" i="97"/>
  <c r="K32" i="97"/>
  <c r="K33" i="97" s="1"/>
  <c r="K35" i="97" s="1"/>
  <c r="J32" i="97"/>
  <c r="J33" i="97" s="1"/>
  <c r="J35" i="97" s="1"/>
  <c r="J31" i="97"/>
  <c r="N31" i="97"/>
  <c r="N32" i="97" s="1"/>
  <c r="N33" i="97" s="1"/>
  <c r="N35" i="97" s="1"/>
  <c r="E31" i="97"/>
  <c r="E32" i="97" s="1"/>
  <c r="E33" i="97" s="1"/>
  <c r="E35" i="97" s="1"/>
  <c r="E36" i="97" s="1"/>
  <c r="D31" i="97"/>
  <c r="D32" i="97"/>
  <c r="D33" i="97" s="1"/>
  <c r="D35" i="97" s="1"/>
  <c r="D36" i="97" s="1"/>
  <c r="M31" i="98"/>
  <c r="M32" i="98" s="1"/>
  <c r="M33" i="98" s="1"/>
  <c r="M35" i="98" s="1"/>
  <c r="E31" i="98"/>
  <c r="E32" i="98" s="1"/>
  <c r="E33" i="98" s="1"/>
  <c r="E35" i="98" s="1"/>
  <c r="E36" i="98" s="1"/>
  <c r="F31" i="98"/>
  <c r="F32" i="98" s="1"/>
  <c r="F33" i="98" s="1"/>
  <c r="F35" i="98" s="1"/>
  <c r="F36" i="98" s="1"/>
  <c r="D31" i="98"/>
  <c r="D32" i="98"/>
  <c r="D33" i="98" s="1"/>
  <c r="D35" i="98" s="1"/>
  <c r="D36" i="98" s="1"/>
  <c r="J31" i="98"/>
  <c r="J32" i="98" s="1"/>
  <c r="J33" i="98" s="1"/>
  <c r="J35" i="98" s="1"/>
  <c r="G31" i="98"/>
  <c r="G32" i="98"/>
  <c r="G33" i="98" s="1"/>
  <c r="G35" i="98" s="1"/>
  <c r="H31" i="98"/>
  <c r="H32" i="98"/>
  <c r="H33" i="98" s="1"/>
  <c r="H35" i="98" s="1"/>
  <c r="I31" i="98"/>
  <c r="I32" i="98" s="1"/>
  <c r="I33" i="98" s="1"/>
  <c r="I35" i="98" s="1"/>
  <c r="C31" i="98"/>
  <c r="C32" i="98"/>
  <c r="C33" i="98" s="1"/>
  <c r="C35" i="98" s="1"/>
  <c r="C36" i="98" s="1"/>
  <c r="N31" i="98"/>
  <c r="N32" i="98" s="1"/>
  <c r="N33" i="98" s="1"/>
  <c r="N35" i="98" s="1"/>
  <c r="K31" i="98"/>
  <c r="K32" i="98" s="1"/>
  <c r="K33" i="98" s="1"/>
  <c r="K35" i="98" s="1"/>
  <c r="L31" i="98"/>
  <c r="L32" i="98" s="1"/>
  <c r="L33" i="98" s="1"/>
  <c r="L35" i="98" s="1"/>
  <c r="I31" i="62"/>
  <c r="I32" i="62" s="1"/>
  <c r="I33" i="62" s="1"/>
  <c r="I35" i="62" s="1"/>
  <c r="N31" i="62"/>
  <c r="N32" i="62" s="1"/>
  <c r="N33" i="62" s="1"/>
  <c r="N35" i="62" s="1"/>
  <c r="D31" i="62"/>
  <c r="D32" i="62" s="1"/>
  <c r="D33" i="62" s="1"/>
  <c r="D35" i="62" s="1"/>
  <c r="D36" i="62" s="1"/>
  <c r="M31" i="62"/>
  <c r="M32" i="62" s="1"/>
  <c r="M33" i="62" s="1"/>
  <c r="M35" i="62" s="1"/>
  <c r="C31" i="62"/>
  <c r="C32" i="62"/>
  <c r="C33" i="62" s="1"/>
  <c r="C35" i="62" s="1"/>
  <c r="C36" i="62" s="1"/>
  <c r="H31" i="62"/>
  <c r="H32" i="62" s="1"/>
  <c r="H33" i="62" s="1"/>
  <c r="H35" i="62" s="1"/>
  <c r="F31" i="62"/>
  <c r="F32" i="62" s="1"/>
  <c r="F33" i="62" s="1"/>
  <c r="F35" i="62" s="1"/>
  <c r="G31" i="62"/>
  <c r="G32" i="62"/>
  <c r="G33" i="62" s="1"/>
  <c r="G35" i="62" s="1"/>
  <c r="L31" i="62"/>
  <c r="L32" i="62" s="1"/>
  <c r="L33" i="62" s="1"/>
  <c r="L35" i="62" s="1"/>
  <c r="E31" i="62"/>
  <c r="E32" i="62" s="1"/>
  <c r="E33" i="62" s="1"/>
  <c r="E35" i="62" s="1"/>
  <c r="E36" i="62" s="1"/>
  <c r="J31" i="62"/>
  <c r="J32" i="62" s="1"/>
  <c r="J33" i="62" s="1"/>
  <c r="J35" i="62" s="1"/>
  <c r="K31" i="62"/>
  <c r="K32" i="62" s="1"/>
  <c r="K33" i="62" s="1"/>
  <c r="K35" i="62" s="1"/>
  <c r="M31" i="68"/>
  <c r="M32" i="68" s="1"/>
  <c r="M33" i="68" s="1"/>
  <c r="M35" i="68" s="1"/>
  <c r="F31" i="68"/>
  <c r="F32" i="68" s="1"/>
  <c r="F33" i="68" s="1"/>
  <c r="F35" i="68" s="1"/>
  <c r="C31" i="68"/>
  <c r="C32" i="68"/>
  <c r="C33" i="68" s="1"/>
  <c r="C35" i="68" s="1"/>
  <c r="C36" i="68" s="1"/>
  <c r="D31" i="68"/>
  <c r="D32" i="68"/>
  <c r="D33" i="68" s="1"/>
  <c r="D35" i="68" s="1"/>
  <c r="D36" i="68" s="1"/>
  <c r="E31" i="68"/>
  <c r="E32" i="68" s="1"/>
  <c r="E33" i="68" s="1"/>
  <c r="E35" i="68" s="1"/>
  <c r="E36" i="68" s="1"/>
  <c r="J31" i="68"/>
  <c r="J32" i="68" s="1"/>
  <c r="J33" i="68" s="1"/>
  <c r="J35" i="68" s="1"/>
  <c r="G31" i="68"/>
  <c r="G32" i="68"/>
  <c r="G33" i="68" s="1"/>
  <c r="G35" i="68" s="1"/>
  <c r="H31" i="68"/>
  <c r="H32" i="68"/>
  <c r="H33" i="68" s="1"/>
  <c r="H35" i="68" s="1"/>
  <c r="I31" i="68"/>
  <c r="I32" i="68" s="1"/>
  <c r="I33" i="68" s="1"/>
  <c r="I35" i="68" s="1"/>
  <c r="N31" i="68"/>
  <c r="N32" i="68" s="1"/>
  <c r="N33" i="68" s="1"/>
  <c r="N35" i="68" s="1"/>
  <c r="K31" i="68"/>
  <c r="K32" i="68"/>
  <c r="K33" i="68" s="1"/>
  <c r="K35" i="68" s="1"/>
  <c r="L31" i="68"/>
  <c r="L32" i="68" s="1"/>
  <c r="L33" i="68" s="1"/>
  <c r="L35" i="68" s="1"/>
  <c r="C31" i="103"/>
  <c r="C32" i="103" s="1"/>
  <c r="C33" i="103" s="1"/>
  <c r="C35" i="103" s="1"/>
  <c r="C36" i="103" s="1"/>
  <c r="I31" i="103"/>
  <c r="I32" i="103"/>
  <c r="I33" i="103" s="1"/>
  <c r="I35" i="103" s="1"/>
  <c r="G31" i="103"/>
  <c r="G32" i="103" s="1"/>
  <c r="G33" i="103" s="1"/>
  <c r="G35" i="103" s="1"/>
  <c r="F31" i="103"/>
  <c r="F32" i="103" s="1"/>
  <c r="F33" i="103" s="1"/>
  <c r="F35" i="103" s="1"/>
  <c r="L31" i="103"/>
  <c r="L32" i="103" s="1"/>
  <c r="L33" i="103" s="1"/>
  <c r="L35" i="103" s="1"/>
  <c r="M31" i="103"/>
  <c r="M32" i="103" s="1"/>
  <c r="M33" i="103" s="1"/>
  <c r="M35" i="103" s="1"/>
  <c r="K31" i="103"/>
  <c r="K32" i="103"/>
  <c r="K33" i="103" s="1"/>
  <c r="K35" i="103" s="1"/>
  <c r="N31" i="103"/>
  <c r="N32" i="103" s="1"/>
  <c r="N33" i="103" s="1"/>
  <c r="N35" i="103" s="1"/>
  <c r="H31" i="103"/>
  <c r="H32" i="103" s="1"/>
  <c r="H33" i="103" s="1"/>
  <c r="H35" i="103" s="1"/>
  <c r="J31" i="103"/>
  <c r="J32" i="103" s="1"/>
  <c r="J33" i="103" s="1"/>
  <c r="J35" i="103" s="1"/>
  <c r="E31" i="103"/>
  <c r="E32" i="103" s="1"/>
  <c r="E33" i="103" s="1"/>
  <c r="E35" i="103" s="1"/>
  <c r="E36" i="103" s="1"/>
  <c r="D31" i="103"/>
  <c r="D32" i="103" s="1"/>
  <c r="D33" i="103" s="1"/>
  <c r="D35" i="103" s="1"/>
  <c r="D36" i="103" s="1"/>
  <c r="L30" i="65"/>
  <c r="H30" i="65"/>
  <c r="D30" i="65"/>
  <c r="K30" i="65"/>
  <c r="G30" i="65"/>
  <c r="C30" i="65"/>
  <c r="N30" i="65"/>
  <c r="J30" i="65"/>
  <c r="F30" i="65"/>
  <c r="M30" i="65"/>
  <c r="E30" i="65"/>
  <c r="I30" i="65"/>
  <c r="N31" i="52"/>
  <c r="N32" i="52" s="1"/>
  <c r="N33" i="52" s="1"/>
  <c r="N35" i="52" s="1"/>
  <c r="M31" i="52"/>
  <c r="M32" i="52" s="1"/>
  <c r="M33" i="52" s="1"/>
  <c r="M35" i="52" s="1"/>
  <c r="C31" i="52"/>
  <c r="C32" i="52" s="1"/>
  <c r="C33" i="52" s="1"/>
  <c r="C35" i="52" s="1"/>
  <c r="C36" i="52" s="1"/>
  <c r="H31" i="52"/>
  <c r="H32" i="52" s="1"/>
  <c r="H33" i="52" s="1"/>
  <c r="H35" i="52" s="1"/>
  <c r="I32" i="52"/>
  <c r="I33" i="52" s="1"/>
  <c r="I35" i="52" s="1"/>
  <c r="I31" i="52"/>
  <c r="D31" i="52"/>
  <c r="D32" i="52" s="1"/>
  <c r="D33" i="52" s="1"/>
  <c r="D35" i="52" s="1"/>
  <c r="D36" i="52" s="1"/>
  <c r="F32" i="52"/>
  <c r="F33" i="52" s="1"/>
  <c r="F35" i="52" s="1"/>
  <c r="F31" i="52"/>
  <c r="G31" i="52"/>
  <c r="G32" i="52"/>
  <c r="G33" i="52" s="1"/>
  <c r="G35" i="52" s="1"/>
  <c r="L31" i="52"/>
  <c r="L32" i="52" s="1"/>
  <c r="L33" i="52" s="1"/>
  <c r="L35" i="52" s="1"/>
  <c r="E31" i="52"/>
  <c r="E32" i="52" s="1"/>
  <c r="E33" i="52" s="1"/>
  <c r="E35" i="52" s="1"/>
  <c r="E36" i="52" s="1"/>
  <c r="J32" i="52"/>
  <c r="J33" i="52" s="1"/>
  <c r="J35" i="52" s="1"/>
  <c r="J31" i="52"/>
  <c r="K31" i="52"/>
  <c r="K32" i="52" s="1"/>
  <c r="K33" i="52" s="1"/>
  <c r="K35" i="52" s="1"/>
  <c r="L30" i="50"/>
  <c r="H30" i="50"/>
  <c r="D30" i="50"/>
  <c r="N30" i="50"/>
  <c r="J30" i="50"/>
  <c r="F30" i="50"/>
  <c r="M30" i="50"/>
  <c r="E30" i="50"/>
  <c r="K30" i="50"/>
  <c r="G30" i="50"/>
  <c r="C30" i="50"/>
  <c r="I30" i="50"/>
  <c r="N31" i="79"/>
  <c r="N32" i="79" s="1"/>
  <c r="N33" i="79" s="1"/>
  <c r="N35" i="79" s="1"/>
  <c r="K31" i="79"/>
  <c r="K32" i="79" s="1"/>
  <c r="K33" i="79" s="1"/>
  <c r="K35" i="79" s="1"/>
  <c r="L31" i="79"/>
  <c r="L32" i="79" s="1"/>
  <c r="L33" i="79" s="1"/>
  <c r="L35" i="79" s="1"/>
  <c r="M31" i="79"/>
  <c r="M32" i="79" s="1"/>
  <c r="M33" i="79" s="1"/>
  <c r="M35" i="79" s="1"/>
  <c r="I31" i="79"/>
  <c r="I32" i="79" s="1"/>
  <c r="I33" i="79" s="1"/>
  <c r="I35" i="79" s="1"/>
  <c r="E31" i="79"/>
  <c r="E32" i="79" s="1"/>
  <c r="E33" i="79" s="1"/>
  <c r="E35" i="79" s="1"/>
  <c r="F31" i="79"/>
  <c r="F32" i="79" s="1"/>
  <c r="F33" i="79" s="1"/>
  <c r="F35" i="79" s="1"/>
  <c r="C31" i="79"/>
  <c r="C32" i="79"/>
  <c r="C33" i="79" s="1"/>
  <c r="C35" i="79" s="1"/>
  <c r="C36" i="79" s="1"/>
  <c r="D31" i="79"/>
  <c r="D32" i="79"/>
  <c r="D33" i="79" s="1"/>
  <c r="D35" i="79" s="1"/>
  <c r="J31" i="79"/>
  <c r="J32" i="79" s="1"/>
  <c r="J33" i="79" s="1"/>
  <c r="J35" i="79" s="1"/>
  <c r="G31" i="79"/>
  <c r="G32" i="79"/>
  <c r="G33" i="79" s="1"/>
  <c r="G35" i="79" s="1"/>
  <c r="H31" i="79"/>
  <c r="H32" i="79" s="1"/>
  <c r="H33" i="79" s="1"/>
  <c r="H35" i="79" s="1"/>
  <c r="I31" i="70"/>
  <c r="I32" i="70" s="1"/>
  <c r="I33" i="70" s="1"/>
  <c r="I35" i="70" s="1"/>
  <c r="F31" i="70"/>
  <c r="F32" i="70" s="1"/>
  <c r="F33" i="70" s="1"/>
  <c r="F35" i="70" s="1"/>
  <c r="J31" i="70"/>
  <c r="J32" i="70"/>
  <c r="J33" i="70" s="1"/>
  <c r="J35" i="70" s="1"/>
  <c r="E31" i="70"/>
  <c r="E32" i="70" s="1"/>
  <c r="E33" i="70" s="1"/>
  <c r="E35" i="70" s="1"/>
  <c r="E36" i="70" s="1"/>
  <c r="D36" i="70"/>
  <c r="H31" i="70"/>
  <c r="H32" i="70" s="1"/>
  <c r="H33" i="70" s="1"/>
  <c r="H35" i="70" s="1"/>
  <c r="L31" i="70"/>
  <c r="L32" i="70" s="1"/>
  <c r="L33" i="70" s="1"/>
  <c r="L35" i="70" s="1"/>
  <c r="M32" i="70"/>
  <c r="M33" i="70" s="1"/>
  <c r="M35" i="70" s="1"/>
  <c r="M31" i="70"/>
  <c r="N31" i="70"/>
  <c r="N32" i="70" s="1"/>
  <c r="N33" i="70" s="1"/>
  <c r="N35" i="70" s="1"/>
  <c r="K31" i="70"/>
  <c r="K32" i="70" s="1"/>
  <c r="K33" i="70" s="1"/>
  <c r="K35" i="70" s="1"/>
  <c r="M31" i="51"/>
  <c r="M32" i="51" s="1"/>
  <c r="M33" i="51" s="1"/>
  <c r="M35" i="51" s="1"/>
  <c r="H31" i="51"/>
  <c r="H32" i="51" s="1"/>
  <c r="H33" i="51" s="1"/>
  <c r="H35" i="51" s="1"/>
  <c r="F31" i="51"/>
  <c r="F32" i="51" s="1"/>
  <c r="F33" i="51" s="1"/>
  <c r="F35" i="51" s="1"/>
  <c r="G31" i="51"/>
  <c r="G32" i="51"/>
  <c r="G33" i="51" s="1"/>
  <c r="G35" i="51" s="1"/>
  <c r="E31" i="51"/>
  <c r="E32" i="51" s="1"/>
  <c r="E33" i="51" s="1"/>
  <c r="E35" i="51" s="1"/>
  <c r="E36" i="51" s="1"/>
  <c r="J31" i="51"/>
  <c r="J32" i="51" s="1"/>
  <c r="J33" i="51" s="1"/>
  <c r="J35" i="51" s="1"/>
  <c r="K31" i="51"/>
  <c r="K32" i="51"/>
  <c r="K33" i="51" s="1"/>
  <c r="K35" i="51" s="1"/>
  <c r="C31" i="51"/>
  <c r="C32" i="51"/>
  <c r="C33" i="51" s="1"/>
  <c r="C35" i="51" s="1"/>
  <c r="C36" i="51" s="1"/>
  <c r="L31" i="51"/>
  <c r="L32" i="51" s="1"/>
  <c r="L33" i="51" s="1"/>
  <c r="L35" i="51" s="1"/>
  <c r="I31" i="51"/>
  <c r="I32" i="51" s="1"/>
  <c r="I33" i="51" s="1"/>
  <c r="I35" i="51" s="1"/>
  <c r="N31" i="51"/>
  <c r="N32" i="51" s="1"/>
  <c r="N33" i="51" s="1"/>
  <c r="N35" i="51" s="1"/>
  <c r="D31" i="51"/>
  <c r="D32" i="51" s="1"/>
  <c r="D33" i="51" s="1"/>
  <c r="D35" i="51" s="1"/>
  <c r="D36" i="51" s="1"/>
  <c r="L31" i="87"/>
  <c r="L32" i="87" s="1"/>
  <c r="L33" i="87" s="1"/>
  <c r="L35" i="87" s="1"/>
  <c r="G31" i="87"/>
  <c r="G32" i="87" s="1"/>
  <c r="G33" i="87" s="1"/>
  <c r="G35" i="87" s="1"/>
  <c r="J31" i="87"/>
  <c r="J32" i="87" s="1"/>
  <c r="J33" i="87" s="1"/>
  <c r="J35" i="87" s="1"/>
  <c r="H31" i="87"/>
  <c r="H32" i="87" s="1"/>
  <c r="H33" i="87" s="1"/>
  <c r="H35" i="87" s="1"/>
  <c r="F32" i="87"/>
  <c r="F33" i="87" s="1"/>
  <c r="F35" i="87" s="1"/>
  <c r="F31" i="87"/>
  <c r="M31" i="87"/>
  <c r="M32" i="87" s="1"/>
  <c r="M33" i="87" s="1"/>
  <c r="M35" i="87" s="1"/>
  <c r="E32" i="87"/>
  <c r="E33" i="87" s="1"/>
  <c r="E35" i="87" s="1"/>
  <c r="E36" i="87" s="1"/>
  <c r="E31" i="87"/>
  <c r="I31" i="87"/>
  <c r="I32" i="87" s="1"/>
  <c r="I33" i="87" s="1"/>
  <c r="I35" i="87" s="1"/>
  <c r="E31" i="138"/>
  <c r="E32" i="138" s="1"/>
  <c r="E33" i="138" s="1"/>
  <c r="E35" i="138" s="1"/>
  <c r="J31" i="138"/>
  <c r="J32" i="138" s="1"/>
  <c r="J33" i="138" s="1"/>
  <c r="J35" i="138" s="1"/>
  <c r="N31" i="138"/>
  <c r="N32" i="138" s="1"/>
  <c r="N33" i="138" s="1"/>
  <c r="N35" i="138" s="1"/>
  <c r="M31" i="138"/>
  <c r="M32" i="138" s="1"/>
  <c r="M33" i="138" s="1"/>
  <c r="M35" i="138" s="1"/>
  <c r="C31" i="138"/>
  <c r="C32" i="138"/>
  <c r="C33" i="138" s="1"/>
  <c r="C35" i="138" s="1"/>
  <c r="C36" i="138" s="1"/>
  <c r="H31" i="138"/>
  <c r="H32" i="138" s="1"/>
  <c r="H33" i="138" s="1"/>
  <c r="H35" i="138" s="1"/>
  <c r="K31" i="138"/>
  <c r="K32" i="138" s="1"/>
  <c r="K33" i="138" s="1"/>
  <c r="K35" i="138" s="1"/>
  <c r="I31" i="138"/>
  <c r="I32" i="138" s="1"/>
  <c r="I33" i="138" s="1"/>
  <c r="I35" i="138" s="1"/>
  <c r="D31" i="138"/>
  <c r="D32" i="138" s="1"/>
  <c r="D33" i="138" s="1"/>
  <c r="D35" i="138" s="1"/>
  <c r="D36" i="138" s="1"/>
  <c r="F31" i="138"/>
  <c r="F32" i="138" s="1"/>
  <c r="F33" i="138" s="1"/>
  <c r="F35" i="138" s="1"/>
  <c r="G31" i="138"/>
  <c r="G32" i="138"/>
  <c r="G33" i="138" s="1"/>
  <c r="G35" i="138" s="1"/>
  <c r="L31" i="138"/>
  <c r="L32" i="138" s="1"/>
  <c r="L33" i="138" s="1"/>
  <c r="L35" i="138" s="1"/>
  <c r="C31" i="58"/>
  <c r="C32" i="58" s="1"/>
  <c r="C33" i="58" s="1"/>
  <c r="C35" i="58" s="1"/>
  <c r="C36" i="58" s="1"/>
  <c r="M31" i="58"/>
  <c r="M32" i="58" s="1"/>
  <c r="M33" i="58" s="1"/>
  <c r="M35" i="58" s="1"/>
  <c r="H31" i="58"/>
  <c r="H32" i="58" s="1"/>
  <c r="H33" i="58" s="1"/>
  <c r="H35" i="58" s="1"/>
  <c r="G31" i="58"/>
  <c r="G32" i="58"/>
  <c r="G33" i="58" s="1"/>
  <c r="G35" i="58" s="1"/>
  <c r="F31" i="58"/>
  <c r="F32" i="58" s="1"/>
  <c r="F33" i="58" s="1"/>
  <c r="F35" i="58" s="1"/>
  <c r="L31" i="58"/>
  <c r="L32" i="58" s="1"/>
  <c r="L33" i="58" s="1"/>
  <c r="L35" i="58" s="1"/>
  <c r="I31" i="58"/>
  <c r="I32" i="58"/>
  <c r="I33" i="58" s="1"/>
  <c r="I35" i="58" s="1"/>
  <c r="K31" i="58"/>
  <c r="K32" i="58" s="1"/>
  <c r="K33" i="58" s="1"/>
  <c r="K35" i="58" s="1"/>
  <c r="N31" i="58"/>
  <c r="N32" i="58" s="1"/>
  <c r="N33" i="58" s="1"/>
  <c r="N35" i="58" s="1"/>
  <c r="J31" i="58"/>
  <c r="J32" i="58" s="1"/>
  <c r="J33" i="58" s="1"/>
  <c r="J35" i="58" s="1"/>
  <c r="E31" i="58"/>
  <c r="E32" i="58" s="1"/>
  <c r="E33" i="58" s="1"/>
  <c r="E35" i="58" s="1"/>
  <c r="D31" i="58"/>
  <c r="D32" i="58" s="1"/>
  <c r="D33" i="58" s="1"/>
  <c r="D35" i="58" s="1"/>
  <c r="D36" i="58" s="1"/>
  <c r="M31" i="72"/>
  <c r="M32" i="72" s="1"/>
  <c r="M33" i="72" s="1"/>
  <c r="M35" i="72" s="1"/>
  <c r="F31" i="72"/>
  <c r="F32" i="72" s="1"/>
  <c r="F33" i="72" s="1"/>
  <c r="F35" i="72" s="1"/>
  <c r="C31" i="72"/>
  <c r="C32" i="72"/>
  <c r="C33" i="72" s="1"/>
  <c r="C35" i="72" s="1"/>
  <c r="C36" i="72" s="1"/>
  <c r="D31" i="72"/>
  <c r="D32" i="72"/>
  <c r="D33" i="72" s="1"/>
  <c r="D35" i="72" s="1"/>
  <c r="D36" i="72" s="1"/>
  <c r="I31" i="72"/>
  <c r="I32" i="72" s="1"/>
  <c r="I33" i="72" s="1"/>
  <c r="I35" i="72" s="1"/>
  <c r="J31" i="72"/>
  <c r="J32" i="72" s="1"/>
  <c r="J33" i="72" s="1"/>
  <c r="J35" i="72" s="1"/>
  <c r="G31" i="72"/>
  <c r="G32" i="72"/>
  <c r="G33" i="72" s="1"/>
  <c r="G35" i="72" s="1"/>
  <c r="H31" i="72"/>
  <c r="H32" i="72" s="1"/>
  <c r="H33" i="72" s="1"/>
  <c r="H35" i="72" s="1"/>
  <c r="E31" i="72"/>
  <c r="E32" i="72" s="1"/>
  <c r="E33" i="72" s="1"/>
  <c r="E35" i="72" s="1"/>
  <c r="E36" i="72" s="1"/>
  <c r="N31" i="72"/>
  <c r="N32" i="72" s="1"/>
  <c r="N33" i="72" s="1"/>
  <c r="N35" i="72" s="1"/>
  <c r="K31" i="72"/>
  <c r="K32" i="72"/>
  <c r="K33" i="72" s="1"/>
  <c r="K35" i="72" s="1"/>
  <c r="L31" i="72"/>
  <c r="L32" i="72"/>
  <c r="L33" i="72" s="1"/>
  <c r="L35" i="72" s="1"/>
  <c r="J31" i="47"/>
  <c r="J32" i="47" s="1"/>
  <c r="J33" i="47" s="1"/>
  <c r="J35" i="47" s="1"/>
  <c r="G31" i="47"/>
  <c r="G32" i="47"/>
  <c r="G33" i="47" s="1"/>
  <c r="G35" i="47" s="1"/>
  <c r="H31" i="47"/>
  <c r="H32" i="47"/>
  <c r="H33" i="47" s="1"/>
  <c r="H35" i="47" s="1"/>
  <c r="N31" i="47"/>
  <c r="N32" i="47" s="1"/>
  <c r="N33" i="47" s="1"/>
  <c r="N35" i="47" s="1"/>
  <c r="K31" i="47"/>
  <c r="K32" i="47"/>
  <c r="K33" i="47" s="1"/>
  <c r="K35" i="47" s="1"/>
  <c r="L31" i="47"/>
  <c r="L32" i="47" s="1"/>
  <c r="L33" i="47" s="1"/>
  <c r="L35" i="47" s="1"/>
  <c r="M31" i="47"/>
  <c r="M32" i="47" s="1"/>
  <c r="M33" i="47" s="1"/>
  <c r="M35" i="47" s="1"/>
  <c r="E31" i="47"/>
  <c r="E32" i="47" s="1"/>
  <c r="E33" i="47" s="1"/>
  <c r="E35" i="47" s="1"/>
  <c r="I31" i="47"/>
  <c r="I32" i="47" s="1"/>
  <c r="I33" i="47" s="1"/>
  <c r="I35" i="47" s="1"/>
  <c r="F31" i="47"/>
  <c r="F32" i="47" s="1"/>
  <c r="F33" i="47" s="1"/>
  <c r="F35" i="47" s="1"/>
  <c r="C31" i="47"/>
  <c r="C32" i="47"/>
  <c r="C33" i="47" s="1"/>
  <c r="C35" i="47" s="1"/>
  <c r="D31" i="47"/>
  <c r="D32" i="47"/>
  <c r="D33" i="47" s="1"/>
  <c r="D35" i="47" s="1"/>
  <c r="L31" i="71"/>
  <c r="L32" i="71" s="1"/>
  <c r="L33" i="71" s="1"/>
  <c r="L35" i="71" s="1"/>
  <c r="M31" i="71"/>
  <c r="M32" i="71" s="1"/>
  <c r="M33" i="71" s="1"/>
  <c r="M35" i="71" s="1"/>
  <c r="D31" i="71"/>
  <c r="D32" i="71" s="1"/>
  <c r="D33" i="71" s="1"/>
  <c r="D35" i="71" s="1"/>
  <c r="D36" i="71" s="1"/>
  <c r="K31" i="71"/>
  <c r="K32" i="71"/>
  <c r="K33" i="71" s="1"/>
  <c r="K35" i="71" s="1"/>
  <c r="G31" i="71"/>
  <c r="G32" i="71"/>
  <c r="G33" i="71" s="1"/>
  <c r="G35" i="71" s="1"/>
  <c r="N31" i="71"/>
  <c r="N32" i="71" s="1"/>
  <c r="N33" i="71" s="1"/>
  <c r="N35" i="71" s="1"/>
  <c r="J31" i="71"/>
  <c r="J32" i="71" s="1"/>
  <c r="J33" i="71" s="1"/>
  <c r="J35" i="71" s="1"/>
  <c r="F31" i="71"/>
  <c r="F32" i="71" s="1"/>
  <c r="F33" i="71" s="1"/>
  <c r="F35" i="71" s="1"/>
  <c r="F36" i="71" s="1"/>
  <c r="I31" i="71"/>
  <c r="I32" i="71" s="1"/>
  <c r="I33" i="71" s="1"/>
  <c r="I35" i="71" s="1"/>
  <c r="E31" i="71"/>
  <c r="E32" i="71" s="1"/>
  <c r="E33" i="71" s="1"/>
  <c r="E35" i="71" s="1"/>
  <c r="E36" i="71" s="1"/>
  <c r="N31" i="53"/>
  <c r="N32" i="53" s="1"/>
  <c r="N33" i="53" s="1"/>
  <c r="N35" i="53" s="1"/>
  <c r="K31" i="53"/>
  <c r="K32" i="53"/>
  <c r="K33" i="53" s="1"/>
  <c r="K35" i="53" s="1"/>
  <c r="L31" i="53"/>
  <c r="L32" i="53" s="1"/>
  <c r="L33" i="53" s="1"/>
  <c r="L35" i="53" s="1"/>
  <c r="I31" i="53"/>
  <c r="I32" i="53" s="1"/>
  <c r="I33" i="53" s="1"/>
  <c r="I35" i="53" s="1"/>
  <c r="E31" i="53"/>
  <c r="E32" i="53" s="1"/>
  <c r="E33" i="53" s="1"/>
  <c r="E35" i="53" s="1"/>
  <c r="E36" i="53" s="1"/>
  <c r="M31" i="53"/>
  <c r="M32" i="53" s="1"/>
  <c r="M33" i="53" s="1"/>
  <c r="M35" i="53" s="1"/>
  <c r="F31" i="53"/>
  <c r="F32" i="53" s="1"/>
  <c r="F33" i="53" s="1"/>
  <c r="F35" i="53" s="1"/>
  <c r="F36" i="53" s="1"/>
  <c r="C31" i="53"/>
  <c r="C32" i="53"/>
  <c r="C33" i="53" s="1"/>
  <c r="C35" i="53" s="1"/>
  <c r="C36" i="53" s="1"/>
  <c r="D31" i="53"/>
  <c r="D32" i="53" s="1"/>
  <c r="D33" i="53" s="1"/>
  <c r="D35" i="53" s="1"/>
  <c r="D36" i="53" s="1"/>
  <c r="J31" i="53"/>
  <c r="J32" i="53" s="1"/>
  <c r="J33" i="53" s="1"/>
  <c r="J35" i="53" s="1"/>
  <c r="G31" i="53"/>
  <c r="G32" i="53"/>
  <c r="G33" i="53" s="1"/>
  <c r="G35" i="53" s="1"/>
  <c r="H31" i="53"/>
  <c r="H32" i="53"/>
  <c r="H33" i="53" s="1"/>
  <c r="H35" i="53" s="1"/>
  <c r="E31" i="64"/>
  <c r="E32" i="64" s="1"/>
  <c r="E33" i="64" s="1"/>
  <c r="E35" i="64" s="1"/>
  <c r="C31" i="64"/>
  <c r="C32" i="64" s="1"/>
  <c r="C33" i="64" s="1"/>
  <c r="C35" i="64" s="1"/>
  <c r="C36" i="64" s="1"/>
  <c r="I31" i="64"/>
  <c r="I32" i="64" s="1"/>
  <c r="I33" i="64" s="1"/>
  <c r="I35" i="64" s="1"/>
  <c r="J31" i="64"/>
  <c r="J32" i="64" s="1"/>
  <c r="J33" i="64" s="1"/>
  <c r="J35" i="64" s="1"/>
  <c r="G31" i="64"/>
  <c r="G32" i="64" s="1"/>
  <c r="G33" i="64" s="1"/>
  <c r="G35" i="64" s="1"/>
  <c r="F31" i="64"/>
  <c r="F32" i="64" s="1"/>
  <c r="F33" i="64" s="1"/>
  <c r="F35" i="64" s="1"/>
  <c r="M31" i="64"/>
  <c r="M32" i="64" s="1"/>
  <c r="M33" i="64" s="1"/>
  <c r="M35" i="64" s="1"/>
  <c r="N31" i="64"/>
  <c r="N32" i="64" s="1"/>
  <c r="N33" i="64" s="1"/>
  <c r="N35" i="64" s="1"/>
  <c r="K31" i="64"/>
  <c r="K32" i="64" s="1"/>
  <c r="K33" i="64" s="1"/>
  <c r="K35" i="64" s="1"/>
  <c r="D32" i="64"/>
  <c r="D33" i="64" s="1"/>
  <c r="D35" i="64" s="1"/>
  <c r="D31" i="64"/>
  <c r="L31" i="64"/>
  <c r="L32" i="64" s="1"/>
  <c r="L33" i="64" s="1"/>
  <c r="L35" i="64" s="1"/>
  <c r="H32" i="64"/>
  <c r="H33" i="64" s="1"/>
  <c r="H35" i="64" s="1"/>
  <c r="H31" i="64"/>
  <c r="K31" i="49"/>
  <c r="K32" i="49" s="1"/>
  <c r="K33" i="49" s="1"/>
  <c r="K35" i="49" s="1"/>
  <c r="M31" i="49"/>
  <c r="M32" i="49" s="1"/>
  <c r="M33" i="49" s="1"/>
  <c r="M35" i="49" s="1"/>
  <c r="I32" i="49"/>
  <c r="I33" i="49" s="1"/>
  <c r="I35" i="49" s="1"/>
  <c r="I31" i="49"/>
  <c r="D31" i="49"/>
  <c r="D32" i="49"/>
  <c r="D33" i="49" s="1"/>
  <c r="D35" i="49" s="1"/>
  <c r="N31" i="49"/>
  <c r="N32" i="49" s="1"/>
  <c r="N33" i="49" s="1"/>
  <c r="N35" i="49" s="1"/>
  <c r="F31" i="49"/>
  <c r="F32" i="49" s="1"/>
  <c r="F33" i="49" s="1"/>
  <c r="F35" i="49" s="1"/>
  <c r="C31" i="49"/>
  <c r="C32" i="49" s="1"/>
  <c r="C33" i="49" s="1"/>
  <c r="C35" i="49" s="1"/>
  <c r="C36" i="49" s="1"/>
  <c r="H31" i="49"/>
  <c r="H32" i="49" s="1"/>
  <c r="H33" i="49" s="1"/>
  <c r="H35" i="49" s="1"/>
  <c r="E32" i="49"/>
  <c r="E33" i="49" s="1"/>
  <c r="E35" i="49" s="1"/>
  <c r="E31" i="49"/>
  <c r="J32" i="49"/>
  <c r="J33" i="49" s="1"/>
  <c r="J35" i="49" s="1"/>
  <c r="J31" i="49"/>
  <c r="G31" i="49"/>
  <c r="G32" i="49"/>
  <c r="G33" i="49" s="1"/>
  <c r="G35" i="49" s="1"/>
  <c r="L31" i="49"/>
  <c r="L32" i="49" s="1"/>
  <c r="L33" i="49" s="1"/>
  <c r="L35" i="49" s="1"/>
  <c r="L28" i="85"/>
  <c r="M23" i="85"/>
  <c r="M26" i="85" s="1"/>
  <c r="M28" i="85" s="1"/>
  <c r="M28" i="84"/>
  <c r="K23" i="84"/>
  <c r="K26" i="84" s="1"/>
  <c r="K28" i="84" s="1"/>
  <c r="L28" i="84"/>
  <c r="F36" i="150" l="1"/>
  <c r="F36" i="149"/>
  <c r="G36" i="149"/>
  <c r="F36" i="145"/>
  <c r="E36" i="145"/>
  <c r="G36" i="145"/>
  <c r="F36" i="146"/>
  <c r="G36" i="146"/>
  <c r="G31" i="144"/>
  <c r="G32" i="144"/>
  <c r="G33" i="144" s="1"/>
  <c r="G35" i="144" s="1"/>
  <c r="D31" i="144"/>
  <c r="D32" i="144" s="1"/>
  <c r="D33" i="144" s="1"/>
  <c r="D35" i="144" s="1"/>
  <c r="D36" i="144" s="1"/>
  <c r="E31" i="144"/>
  <c r="E32" i="144"/>
  <c r="E33" i="144" s="1"/>
  <c r="E35" i="144" s="1"/>
  <c r="H31" i="144"/>
  <c r="H32" i="144" s="1"/>
  <c r="H33" i="144" s="1"/>
  <c r="H35" i="144" s="1"/>
  <c r="J31" i="144"/>
  <c r="J32" i="144" s="1"/>
  <c r="J33" i="144" s="1"/>
  <c r="J35" i="144" s="1"/>
  <c r="F31" i="144"/>
  <c r="F32" i="144" s="1"/>
  <c r="F33" i="144" s="1"/>
  <c r="F35" i="144" s="1"/>
  <c r="C31" i="144"/>
  <c r="C32" i="144"/>
  <c r="C33" i="144" s="1"/>
  <c r="C35" i="144" s="1"/>
  <c r="C36" i="144" s="1"/>
  <c r="I31" i="144"/>
  <c r="I32" i="144"/>
  <c r="I33" i="144" s="1"/>
  <c r="I35" i="144" s="1"/>
  <c r="E36" i="148"/>
  <c r="J36" i="147"/>
  <c r="I36" i="147"/>
  <c r="H36" i="147"/>
  <c r="G31" i="142"/>
  <c r="G32" i="142" s="1"/>
  <c r="G33" i="142" s="1"/>
  <c r="G35" i="142" s="1"/>
  <c r="F31" i="142"/>
  <c r="F32" i="142" s="1"/>
  <c r="F33" i="142" s="1"/>
  <c r="F35" i="142" s="1"/>
  <c r="I31" i="142"/>
  <c r="I32" i="142" s="1"/>
  <c r="I33" i="142" s="1"/>
  <c r="I35" i="142" s="1"/>
  <c r="C31" i="142"/>
  <c r="C32" i="142"/>
  <c r="C33" i="142" s="1"/>
  <c r="C35" i="142" s="1"/>
  <c r="C36" i="142" s="1"/>
  <c r="H31" i="142"/>
  <c r="H32" i="142" s="1"/>
  <c r="H33" i="142" s="1"/>
  <c r="H35" i="142" s="1"/>
  <c r="J31" i="142"/>
  <c r="J32" i="142" s="1"/>
  <c r="J33" i="142" s="1"/>
  <c r="J35" i="142" s="1"/>
  <c r="E32" i="142"/>
  <c r="E33" i="142" s="1"/>
  <c r="E35" i="142" s="1"/>
  <c r="E31" i="142"/>
  <c r="D31" i="142"/>
  <c r="D32" i="142" s="1"/>
  <c r="D33" i="142" s="1"/>
  <c r="D35" i="142" s="1"/>
  <c r="D36" i="142" s="1"/>
  <c r="F36" i="141"/>
  <c r="H36" i="141"/>
  <c r="G36" i="141"/>
  <c r="D36" i="140"/>
  <c r="F36" i="139"/>
  <c r="G36" i="139"/>
  <c r="H36" i="139"/>
  <c r="D36" i="137"/>
  <c r="G36" i="137" s="1"/>
  <c r="E36" i="137"/>
  <c r="F36" i="137"/>
  <c r="D36" i="135"/>
  <c r="N31" i="134"/>
  <c r="N32" i="134" s="1"/>
  <c r="N33" i="134" s="1"/>
  <c r="N35" i="134" s="1"/>
  <c r="F31" i="134"/>
  <c r="F32" i="134" s="1"/>
  <c r="F33" i="134" s="1"/>
  <c r="F35" i="134" s="1"/>
  <c r="K31" i="134"/>
  <c r="K32" i="134"/>
  <c r="K33" i="134" s="1"/>
  <c r="K35" i="134" s="1"/>
  <c r="D31" i="134"/>
  <c r="D32" i="134" s="1"/>
  <c r="D33" i="134" s="1"/>
  <c r="D35" i="134" s="1"/>
  <c r="I31" i="134"/>
  <c r="I32" i="134" s="1"/>
  <c r="I33" i="134" s="1"/>
  <c r="I35" i="134" s="1"/>
  <c r="G31" i="134"/>
  <c r="G32" i="134" s="1"/>
  <c r="G33" i="134" s="1"/>
  <c r="G35" i="134" s="1"/>
  <c r="J31" i="134"/>
  <c r="J32" i="134" s="1"/>
  <c r="J33" i="134" s="1"/>
  <c r="J35" i="134" s="1"/>
  <c r="E31" i="134"/>
  <c r="E32" i="134" s="1"/>
  <c r="E33" i="134" s="1"/>
  <c r="E35" i="134" s="1"/>
  <c r="H31" i="134"/>
  <c r="H32" i="134" s="1"/>
  <c r="H33" i="134" s="1"/>
  <c r="H35" i="134" s="1"/>
  <c r="C31" i="134"/>
  <c r="C32" i="134" s="1"/>
  <c r="C33" i="134" s="1"/>
  <c r="C35" i="134" s="1"/>
  <c r="C36" i="134" s="1"/>
  <c r="M31" i="134"/>
  <c r="M32" i="134" s="1"/>
  <c r="M33" i="134" s="1"/>
  <c r="M35" i="134" s="1"/>
  <c r="L31" i="134"/>
  <c r="L32" i="134" s="1"/>
  <c r="L33" i="134" s="1"/>
  <c r="L35" i="134" s="1"/>
  <c r="F36" i="132"/>
  <c r="F36" i="130"/>
  <c r="G36" i="130"/>
  <c r="E36" i="129"/>
  <c r="F36" i="129"/>
  <c r="I31" i="128"/>
  <c r="I32" i="128" s="1"/>
  <c r="I33" i="128" s="1"/>
  <c r="I35" i="128" s="1"/>
  <c r="K31" i="128"/>
  <c r="K32" i="128" s="1"/>
  <c r="K33" i="128" s="1"/>
  <c r="K35" i="128" s="1"/>
  <c r="J32" i="128"/>
  <c r="J33" i="128" s="1"/>
  <c r="J35" i="128" s="1"/>
  <c r="J31" i="128"/>
  <c r="D31" i="128"/>
  <c r="D32" i="128" s="1"/>
  <c r="D33" i="128" s="1"/>
  <c r="D35" i="128" s="1"/>
  <c r="C31" i="128"/>
  <c r="C32" i="128" s="1"/>
  <c r="C33" i="128" s="1"/>
  <c r="C35" i="128" s="1"/>
  <c r="C36" i="128" s="1"/>
  <c r="M31" i="128"/>
  <c r="M32" i="128" s="1"/>
  <c r="M33" i="128" s="1"/>
  <c r="M35" i="128" s="1"/>
  <c r="H32" i="128"/>
  <c r="H33" i="128" s="1"/>
  <c r="H35" i="128" s="1"/>
  <c r="H31" i="128"/>
  <c r="N31" i="128"/>
  <c r="N32" i="128" s="1"/>
  <c r="N33" i="128" s="1"/>
  <c r="N35" i="128" s="1"/>
  <c r="E32" i="128"/>
  <c r="E33" i="128" s="1"/>
  <c r="E35" i="128" s="1"/>
  <c r="E31" i="128"/>
  <c r="G31" i="128"/>
  <c r="G32" i="128"/>
  <c r="G33" i="128" s="1"/>
  <c r="G35" i="128" s="1"/>
  <c r="F32" i="128"/>
  <c r="F33" i="128" s="1"/>
  <c r="F35" i="128" s="1"/>
  <c r="F31" i="128"/>
  <c r="L31" i="128"/>
  <c r="L32" i="128"/>
  <c r="L33" i="128" s="1"/>
  <c r="L35" i="128" s="1"/>
  <c r="M31" i="127"/>
  <c r="M32" i="127" s="1"/>
  <c r="M33" i="127" s="1"/>
  <c r="M35" i="127" s="1"/>
  <c r="J31" i="127"/>
  <c r="J32" i="127" s="1"/>
  <c r="J33" i="127" s="1"/>
  <c r="J35" i="127" s="1"/>
  <c r="N31" i="127"/>
  <c r="N32" i="127" s="1"/>
  <c r="N33" i="127" s="1"/>
  <c r="N35" i="127" s="1"/>
  <c r="D31" i="127"/>
  <c r="D32" i="127"/>
  <c r="D33" i="127" s="1"/>
  <c r="D35" i="127" s="1"/>
  <c r="D36" i="127" s="1"/>
  <c r="C31" i="127"/>
  <c r="C32" i="127"/>
  <c r="C33" i="127" s="1"/>
  <c r="C35" i="127" s="1"/>
  <c r="C36" i="127" s="1"/>
  <c r="I31" i="127"/>
  <c r="I32" i="127" s="1"/>
  <c r="I33" i="127" s="1"/>
  <c r="I35" i="127" s="1"/>
  <c r="H31" i="127"/>
  <c r="H32" i="127" s="1"/>
  <c r="H33" i="127" s="1"/>
  <c r="H35" i="127" s="1"/>
  <c r="K31" i="127"/>
  <c r="K32" i="127"/>
  <c r="K33" i="127" s="1"/>
  <c r="K35" i="127" s="1"/>
  <c r="E31" i="127"/>
  <c r="E32" i="127"/>
  <c r="E33" i="127" s="1"/>
  <c r="E35" i="127" s="1"/>
  <c r="G31" i="127"/>
  <c r="G32" i="127"/>
  <c r="G33" i="127" s="1"/>
  <c r="G35" i="127" s="1"/>
  <c r="F31" i="127"/>
  <c r="F32" i="127" s="1"/>
  <c r="F33" i="127" s="1"/>
  <c r="F35" i="127" s="1"/>
  <c r="L31" i="127"/>
  <c r="L32" i="127" s="1"/>
  <c r="L33" i="127" s="1"/>
  <c r="L35" i="127" s="1"/>
  <c r="E31" i="125"/>
  <c r="E32" i="125" s="1"/>
  <c r="E33" i="125" s="1"/>
  <c r="E35" i="125" s="1"/>
  <c r="N31" i="125"/>
  <c r="N32" i="125" s="1"/>
  <c r="N33" i="125" s="1"/>
  <c r="N35" i="125" s="1"/>
  <c r="M31" i="125"/>
  <c r="M32" i="125" s="1"/>
  <c r="M33" i="125" s="1"/>
  <c r="M35" i="125" s="1"/>
  <c r="D31" i="125"/>
  <c r="D32" i="125" s="1"/>
  <c r="D33" i="125" s="1"/>
  <c r="D35" i="125" s="1"/>
  <c r="D36" i="125" s="1"/>
  <c r="F31" i="125"/>
  <c r="F32" i="125" s="1"/>
  <c r="F33" i="125" s="1"/>
  <c r="F35" i="125" s="1"/>
  <c r="K31" i="125"/>
  <c r="K32" i="125"/>
  <c r="K33" i="125" s="1"/>
  <c r="K35" i="125" s="1"/>
  <c r="H31" i="125"/>
  <c r="H32" i="125" s="1"/>
  <c r="H33" i="125" s="1"/>
  <c r="H35" i="125" s="1"/>
  <c r="C31" i="125"/>
  <c r="C32" i="125"/>
  <c r="C33" i="125" s="1"/>
  <c r="C35" i="125" s="1"/>
  <c r="C36" i="125" s="1"/>
  <c r="G31" i="125"/>
  <c r="G32" i="125"/>
  <c r="G33" i="125" s="1"/>
  <c r="G35" i="125" s="1"/>
  <c r="J31" i="125"/>
  <c r="J32" i="125" s="1"/>
  <c r="J33" i="125" s="1"/>
  <c r="J35" i="125" s="1"/>
  <c r="I31" i="125"/>
  <c r="I32" i="125"/>
  <c r="I33" i="125" s="1"/>
  <c r="I35" i="125" s="1"/>
  <c r="L31" i="125"/>
  <c r="L32" i="125" s="1"/>
  <c r="L33" i="125" s="1"/>
  <c r="L35" i="125" s="1"/>
  <c r="G36" i="124"/>
  <c r="H36" i="124" s="1"/>
  <c r="E36" i="122"/>
  <c r="F36" i="122"/>
  <c r="H31" i="90"/>
  <c r="H32" i="90" s="1"/>
  <c r="H33" i="90" s="1"/>
  <c r="H35" i="90" s="1"/>
  <c r="L31" i="90"/>
  <c r="L32" i="90" s="1"/>
  <c r="L33" i="90" s="1"/>
  <c r="L35" i="90" s="1"/>
  <c r="I31" i="90"/>
  <c r="I32" i="90" s="1"/>
  <c r="I33" i="90" s="1"/>
  <c r="I35" i="90" s="1"/>
  <c r="G31" i="90"/>
  <c r="G32" i="90"/>
  <c r="G33" i="90" s="1"/>
  <c r="G35" i="90" s="1"/>
  <c r="J31" i="90"/>
  <c r="J32" i="90" s="1"/>
  <c r="J33" i="90" s="1"/>
  <c r="J35" i="90" s="1"/>
  <c r="N31" i="90"/>
  <c r="N32" i="90" s="1"/>
  <c r="N33" i="90" s="1"/>
  <c r="N35" i="90" s="1"/>
  <c r="E31" i="90"/>
  <c r="E32" i="90"/>
  <c r="E33" i="90" s="1"/>
  <c r="E35" i="90" s="1"/>
  <c r="E36" i="90" s="1"/>
  <c r="C31" i="90"/>
  <c r="C32" i="90"/>
  <c r="C33" i="90" s="1"/>
  <c r="C35" i="90" s="1"/>
  <c r="C36" i="90" s="1"/>
  <c r="M31" i="90"/>
  <c r="M32" i="90"/>
  <c r="M33" i="90" s="1"/>
  <c r="M35" i="90" s="1"/>
  <c r="F31" i="90"/>
  <c r="F32" i="90" s="1"/>
  <c r="F33" i="90" s="1"/>
  <c r="F35" i="90" s="1"/>
  <c r="F36" i="90" s="1"/>
  <c r="K31" i="90"/>
  <c r="K32" i="90" s="1"/>
  <c r="K33" i="90" s="1"/>
  <c r="K35" i="90" s="1"/>
  <c r="D31" i="90"/>
  <c r="D32" i="90"/>
  <c r="D33" i="90" s="1"/>
  <c r="D35" i="90" s="1"/>
  <c r="D36" i="90" s="1"/>
  <c r="G31" i="105"/>
  <c r="G32" i="105" s="1"/>
  <c r="G33" i="105" s="1"/>
  <c r="G35" i="105" s="1"/>
  <c r="M31" i="105"/>
  <c r="M32" i="105" s="1"/>
  <c r="M33" i="105" s="1"/>
  <c r="M35" i="105" s="1"/>
  <c r="K31" i="105"/>
  <c r="K32" i="105" s="1"/>
  <c r="K33" i="105" s="1"/>
  <c r="K35" i="105" s="1"/>
  <c r="D31" i="105"/>
  <c r="D32" i="105" s="1"/>
  <c r="D33" i="105" s="1"/>
  <c r="D35" i="105" s="1"/>
  <c r="D36" i="105" s="1"/>
  <c r="J32" i="105"/>
  <c r="J33" i="105" s="1"/>
  <c r="J35" i="105" s="1"/>
  <c r="J31" i="105"/>
  <c r="I31" i="105"/>
  <c r="I32" i="105"/>
  <c r="I33" i="105" s="1"/>
  <c r="I35" i="105" s="1"/>
  <c r="H32" i="105"/>
  <c r="H33" i="105" s="1"/>
  <c r="H35" i="105" s="1"/>
  <c r="H31" i="105"/>
  <c r="E31" i="105"/>
  <c r="E32" i="105" s="1"/>
  <c r="E33" i="105" s="1"/>
  <c r="E35" i="105" s="1"/>
  <c r="N32" i="105"/>
  <c r="N33" i="105" s="1"/>
  <c r="N35" i="105" s="1"/>
  <c r="N31" i="105"/>
  <c r="C31" i="105"/>
  <c r="C32" i="105"/>
  <c r="C33" i="105" s="1"/>
  <c r="C35" i="105" s="1"/>
  <c r="C36" i="105" s="1"/>
  <c r="F32" i="105"/>
  <c r="F33" i="105" s="1"/>
  <c r="F35" i="105" s="1"/>
  <c r="F31" i="105"/>
  <c r="L31" i="105"/>
  <c r="L32" i="105" s="1"/>
  <c r="L33" i="105" s="1"/>
  <c r="L35" i="105" s="1"/>
  <c r="E36" i="106"/>
  <c r="H36" i="57"/>
  <c r="I36" i="57"/>
  <c r="G36" i="57"/>
  <c r="E36" i="69"/>
  <c r="F36" i="76"/>
  <c r="G36" i="97"/>
  <c r="H36" i="97"/>
  <c r="G36" i="98"/>
  <c r="H36" i="98"/>
  <c r="I36" i="98" s="1"/>
  <c r="F36" i="62"/>
  <c r="G36" i="62"/>
  <c r="F36" i="68"/>
  <c r="G36" i="68"/>
  <c r="F36" i="103"/>
  <c r="I31" i="65"/>
  <c r="I32" i="65" s="1"/>
  <c r="I33" i="65" s="1"/>
  <c r="I35" i="65" s="1"/>
  <c r="K31" i="65"/>
  <c r="K32" i="65" s="1"/>
  <c r="K33" i="65" s="1"/>
  <c r="K35" i="65" s="1"/>
  <c r="E31" i="65"/>
  <c r="E32" i="65" s="1"/>
  <c r="E33" i="65" s="1"/>
  <c r="E35" i="65" s="1"/>
  <c r="E36" i="65" s="1"/>
  <c r="N31" i="65"/>
  <c r="N32" i="65" s="1"/>
  <c r="N33" i="65" s="1"/>
  <c r="N35" i="65" s="1"/>
  <c r="D31" i="65"/>
  <c r="D32" i="65" s="1"/>
  <c r="D33" i="65" s="1"/>
  <c r="D35" i="65" s="1"/>
  <c r="D36" i="65" s="1"/>
  <c r="J31" i="65"/>
  <c r="J32" i="65" s="1"/>
  <c r="J33" i="65" s="1"/>
  <c r="J35" i="65" s="1"/>
  <c r="M31" i="65"/>
  <c r="M32" i="65" s="1"/>
  <c r="M33" i="65" s="1"/>
  <c r="M35" i="65" s="1"/>
  <c r="C31" i="65"/>
  <c r="C32" i="65"/>
  <c r="C33" i="65" s="1"/>
  <c r="C35" i="65" s="1"/>
  <c r="C36" i="65" s="1"/>
  <c r="H31" i="65"/>
  <c r="H32" i="65" s="1"/>
  <c r="H33" i="65" s="1"/>
  <c r="H35" i="65" s="1"/>
  <c r="F31" i="65"/>
  <c r="F32" i="65" s="1"/>
  <c r="F33" i="65" s="1"/>
  <c r="F35" i="65" s="1"/>
  <c r="F36" i="65" s="1"/>
  <c r="G31" i="65"/>
  <c r="G32" i="65"/>
  <c r="G33" i="65" s="1"/>
  <c r="G35" i="65" s="1"/>
  <c r="L31" i="65"/>
  <c r="L32" i="65" s="1"/>
  <c r="L33" i="65" s="1"/>
  <c r="L35" i="65" s="1"/>
  <c r="F36" i="52"/>
  <c r="G31" i="50"/>
  <c r="G32" i="50" s="1"/>
  <c r="G33" i="50" s="1"/>
  <c r="G35" i="50" s="1"/>
  <c r="F31" i="50"/>
  <c r="F32" i="50" s="1"/>
  <c r="F33" i="50" s="1"/>
  <c r="F35" i="50" s="1"/>
  <c r="H31" i="50"/>
  <c r="H32" i="50" s="1"/>
  <c r="H33" i="50" s="1"/>
  <c r="H35" i="50" s="1"/>
  <c r="K31" i="50"/>
  <c r="K32" i="50"/>
  <c r="K33" i="50" s="1"/>
  <c r="K35" i="50" s="1"/>
  <c r="J31" i="50"/>
  <c r="J32" i="50" s="1"/>
  <c r="J33" i="50" s="1"/>
  <c r="J35" i="50" s="1"/>
  <c r="L31" i="50"/>
  <c r="L32" i="50" s="1"/>
  <c r="L33" i="50" s="1"/>
  <c r="L35" i="50" s="1"/>
  <c r="I31" i="50"/>
  <c r="I32" i="50"/>
  <c r="I33" i="50" s="1"/>
  <c r="I35" i="50" s="1"/>
  <c r="E31" i="50"/>
  <c r="E32" i="50"/>
  <c r="E33" i="50" s="1"/>
  <c r="E35" i="50" s="1"/>
  <c r="N31" i="50"/>
  <c r="N32" i="50" s="1"/>
  <c r="N33" i="50" s="1"/>
  <c r="N35" i="50" s="1"/>
  <c r="C31" i="50"/>
  <c r="C32" i="50"/>
  <c r="C33" i="50" s="1"/>
  <c r="C35" i="50" s="1"/>
  <c r="C36" i="50" s="1"/>
  <c r="M31" i="50"/>
  <c r="M32" i="50" s="1"/>
  <c r="M33" i="50" s="1"/>
  <c r="M35" i="50" s="1"/>
  <c r="D31" i="50"/>
  <c r="D32" i="50" s="1"/>
  <c r="D33" i="50" s="1"/>
  <c r="D35" i="50" s="1"/>
  <c r="D36" i="50" s="1"/>
  <c r="D36" i="79"/>
  <c r="E36" i="79" s="1"/>
  <c r="F36" i="70"/>
  <c r="F36" i="51"/>
  <c r="G36" i="51"/>
  <c r="F36" i="87"/>
  <c r="E36" i="138"/>
  <c r="E36" i="58"/>
  <c r="H36" i="58" s="1"/>
  <c r="F36" i="58"/>
  <c r="G36" i="58"/>
  <c r="F36" i="72"/>
  <c r="G36" i="72"/>
  <c r="H36" i="71"/>
  <c r="G36" i="71"/>
  <c r="H36" i="53"/>
  <c r="G36" i="53"/>
  <c r="D36" i="64"/>
  <c r="D36" i="49"/>
  <c r="K19" i="85"/>
  <c r="K21" i="85" s="1"/>
  <c r="G36" i="150" l="1"/>
  <c r="H36" i="149"/>
  <c r="H36" i="145"/>
  <c r="H36" i="146"/>
  <c r="I36" i="146" s="1"/>
  <c r="E36" i="144"/>
  <c r="F36" i="144" s="1"/>
  <c r="F36" i="148"/>
  <c r="G36" i="148"/>
  <c r="F36" i="142"/>
  <c r="G36" i="142" s="1"/>
  <c r="E36" i="142"/>
  <c r="I36" i="141"/>
  <c r="E36" i="140"/>
  <c r="F36" i="140" s="1"/>
  <c r="J36" i="139"/>
  <c r="I36" i="139"/>
  <c r="H36" i="137"/>
  <c r="I36" i="137" s="1"/>
  <c r="E36" i="135"/>
  <c r="D36" i="134"/>
  <c r="E36" i="134"/>
  <c r="F36" i="134"/>
  <c r="G36" i="132"/>
  <c r="H36" i="130"/>
  <c r="G36" i="129"/>
  <c r="D36" i="128"/>
  <c r="F36" i="127"/>
  <c r="E36" i="127"/>
  <c r="E36" i="125"/>
  <c r="I36" i="124"/>
  <c r="J36" i="124" s="1"/>
  <c r="G36" i="122"/>
  <c r="H36" i="122" s="1"/>
  <c r="H36" i="90"/>
  <c r="G36" i="90"/>
  <c r="E36" i="105"/>
  <c r="F36" i="105"/>
  <c r="F36" i="106"/>
  <c r="G36" i="106"/>
  <c r="J36" i="57"/>
  <c r="G36" i="69"/>
  <c r="F36" i="69"/>
  <c r="H36" i="69"/>
  <c r="G36" i="76"/>
  <c r="I36" i="97"/>
  <c r="J36" i="98"/>
  <c r="H36" i="62"/>
  <c r="I36" i="62"/>
  <c r="J36" i="62" s="1"/>
  <c r="H36" i="68"/>
  <c r="G36" i="103"/>
  <c r="H36" i="103"/>
  <c r="H36" i="65"/>
  <c r="G36" i="65"/>
  <c r="G36" i="52"/>
  <c r="E36" i="50"/>
  <c r="F36" i="79"/>
  <c r="H36" i="70"/>
  <c r="I36" i="70" s="1"/>
  <c r="G36" i="70"/>
  <c r="H36" i="51"/>
  <c r="I36" i="51"/>
  <c r="J36" i="51" s="1"/>
  <c r="G36" i="87"/>
  <c r="H36" i="87" s="1"/>
  <c r="F36" i="138"/>
  <c r="J36" i="58"/>
  <c r="I36" i="58"/>
  <c r="H36" i="72"/>
  <c r="I36" i="71"/>
  <c r="I36" i="53"/>
  <c r="E36" i="64"/>
  <c r="F36" i="64"/>
  <c r="F36" i="49"/>
  <c r="E36" i="49"/>
  <c r="K23" i="85"/>
  <c r="K26" i="85" s="1"/>
  <c r="K28" i="85"/>
  <c r="H100" i="32"/>
  <c r="E102" i="32"/>
  <c r="E91" i="32"/>
  <c r="H99" i="32"/>
  <c r="G98" i="32"/>
  <c r="H98" i="32" s="1"/>
  <c r="G97" i="32"/>
  <c r="H97" i="32" s="1"/>
  <c r="G96" i="32"/>
  <c r="H96" i="32" s="1"/>
  <c r="G95" i="32"/>
  <c r="H95" i="32" s="1"/>
  <c r="G94" i="32"/>
  <c r="H94" i="32" s="1"/>
  <c r="H88" i="32"/>
  <c r="G87" i="32"/>
  <c r="H87" i="32" s="1"/>
  <c r="G86" i="32"/>
  <c r="H86" i="32" s="1"/>
  <c r="G85" i="32"/>
  <c r="H85" i="32" s="1"/>
  <c r="G84" i="32"/>
  <c r="G83" i="32"/>
  <c r="H83" i="32" s="1"/>
  <c r="J19" i="132"/>
  <c r="J19" i="135"/>
  <c r="J19" i="139"/>
  <c r="J19" i="90"/>
  <c r="J19" i="117"/>
  <c r="J21" i="117" s="1"/>
  <c r="J23" i="117" s="1"/>
  <c r="J26" i="117" s="1"/>
  <c r="J28" i="117" s="1"/>
  <c r="I19" i="117"/>
  <c r="I21" i="117" s="1"/>
  <c r="I19" i="132"/>
  <c r="I19" i="140"/>
  <c r="J19" i="140"/>
  <c r="I19" i="90"/>
  <c r="J19" i="95"/>
  <c r="J21" i="95" s="1"/>
  <c r="J23" i="95" s="1"/>
  <c r="J26" i="95" s="1"/>
  <c r="J28" i="95" s="1"/>
  <c r="D66" i="150"/>
  <c r="N19" i="150"/>
  <c r="N21" i="150" s="1"/>
  <c r="N23" i="150" s="1"/>
  <c r="N26" i="150" s="1"/>
  <c r="N28" i="150" s="1"/>
  <c r="M19" i="150"/>
  <c r="M21" i="150" s="1"/>
  <c r="L19" i="150"/>
  <c r="L21" i="150" s="1"/>
  <c r="K19" i="150"/>
  <c r="K21" i="150" s="1"/>
  <c r="J19" i="150"/>
  <c r="AC102" i="29" s="1"/>
  <c r="I19" i="150"/>
  <c r="H19" i="150"/>
  <c r="G19" i="150"/>
  <c r="F19" i="150"/>
  <c r="E19" i="150"/>
  <c r="D19" i="150"/>
  <c r="C19" i="150"/>
  <c r="Q18" i="150"/>
  <c r="P18" i="150" s="1"/>
  <c r="Q17" i="150"/>
  <c r="P17" i="150" s="1"/>
  <c r="O17" i="150"/>
  <c r="Q16" i="150"/>
  <c r="P16" i="150" s="1"/>
  <c r="Q15" i="150"/>
  <c r="P15" i="150" s="1"/>
  <c r="O15" i="150"/>
  <c r="Q14" i="150"/>
  <c r="P14" i="150" s="1"/>
  <c r="Q13" i="150"/>
  <c r="O13" i="150"/>
  <c r="D66" i="149"/>
  <c r="N19" i="149"/>
  <c r="N21" i="149" s="1"/>
  <c r="M19" i="149"/>
  <c r="M21" i="149" s="1"/>
  <c r="M23" i="149" s="1"/>
  <c r="M26" i="149" s="1"/>
  <c r="M28" i="149" s="1"/>
  <c r="L19" i="149"/>
  <c r="L21" i="149" s="1"/>
  <c r="K19" i="149"/>
  <c r="K21" i="149" s="1"/>
  <c r="J19" i="149"/>
  <c r="AC101" i="29" s="1"/>
  <c r="I19" i="149"/>
  <c r="H19" i="149"/>
  <c r="G19" i="149"/>
  <c r="F19" i="149"/>
  <c r="E19" i="149"/>
  <c r="D19" i="149"/>
  <c r="C19" i="149"/>
  <c r="Q18" i="149"/>
  <c r="P18" i="149" s="1"/>
  <c r="Q17" i="149"/>
  <c r="P17" i="149" s="1"/>
  <c r="O17" i="149"/>
  <c r="Q16" i="149"/>
  <c r="P16" i="149" s="1"/>
  <c r="Q15" i="149"/>
  <c r="P15" i="149" s="1"/>
  <c r="O15" i="149"/>
  <c r="Q14" i="149"/>
  <c r="P14" i="149" s="1"/>
  <c r="Q13" i="149"/>
  <c r="O13" i="149"/>
  <c r="J19" i="87"/>
  <c r="I19" i="87"/>
  <c r="J19" i="57"/>
  <c r="I19" i="57"/>
  <c r="J19" i="69"/>
  <c r="I19" i="69"/>
  <c r="J19" i="76"/>
  <c r="I19" i="76"/>
  <c r="I19" i="98"/>
  <c r="J19" i="98"/>
  <c r="I19" i="130"/>
  <c r="J19" i="62"/>
  <c r="I19" i="62"/>
  <c r="J19" i="68"/>
  <c r="I19" i="68"/>
  <c r="J19" i="65"/>
  <c r="I19" i="65"/>
  <c r="J19" i="52"/>
  <c r="I19" i="52"/>
  <c r="J19" i="50"/>
  <c r="I19" i="50"/>
  <c r="J19" i="127"/>
  <c r="I19" i="127"/>
  <c r="J19" i="79"/>
  <c r="I19" i="79"/>
  <c r="J19" i="70"/>
  <c r="I19" i="70"/>
  <c r="J19" i="124"/>
  <c r="I19" i="124"/>
  <c r="J19" i="51"/>
  <c r="I19" i="51"/>
  <c r="J19" i="58"/>
  <c r="I19" i="58"/>
  <c r="AA38" i="29" s="1"/>
  <c r="J19" i="72"/>
  <c r="I19" i="72"/>
  <c r="J19" i="47"/>
  <c r="I19" i="47"/>
  <c r="J19" i="138"/>
  <c r="I19" i="138"/>
  <c r="J19" i="71"/>
  <c r="I19" i="71"/>
  <c r="J19" i="53"/>
  <c r="I19" i="53"/>
  <c r="J19" i="64"/>
  <c r="I19" i="64"/>
  <c r="J19" i="49"/>
  <c r="I19" i="49"/>
  <c r="J19" i="96"/>
  <c r="J21" i="96" s="1"/>
  <c r="I19" i="96"/>
  <c r="I21" i="96" s="1"/>
  <c r="J19" i="106"/>
  <c r="I19" i="106"/>
  <c r="J19" i="3"/>
  <c r="J21" i="3" s="1"/>
  <c r="I19" i="3"/>
  <c r="I21" i="3" s="1"/>
  <c r="I23" i="3" s="1"/>
  <c r="I26" i="3" s="1"/>
  <c r="I28" i="3" s="1"/>
  <c r="J19" i="55"/>
  <c r="J21" i="55" s="1"/>
  <c r="I19" i="55"/>
  <c r="I21" i="55" s="1"/>
  <c r="J19" i="128"/>
  <c r="I19" i="128"/>
  <c r="J19" i="56"/>
  <c r="J21" i="56" s="1"/>
  <c r="I19" i="56"/>
  <c r="I21" i="56" s="1"/>
  <c r="I23" i="56" s="1"/>
  <c r="I26" i="56" s="1"/>
  <c r="I28" i="56" s="1"/>
  <c r="J19" i="61"/>
  <c r="J21" i="61" s="1"/>
  <c r="I19" i="61"/>
  <c r="I21" i="61" s="1"/>
  <c r="I23" i="61" s="1"/>
  <c r="I26" i="61" s="1"/>
  <c r="I28" i="61" s="1"/>
  <c r="J19" i="81"/>
  <c r="J21" i="81" s="1"/>
  <c r="I19" i="81"/>
  <c r="I21" i="81" s="1"/>
  <c r="J19" i="66"/>
  <c r="J21" i="66" s="1"/>
  <c r="I19" i="66"/>
  <c r="I21" i="66" s="1"/>
  <c r="J19" i="67"/>
  <c r="J21" i="67" s="1"/>
  <c r="I19" i="67"/>
  <c r="I21" i="67" s="1"/>
  <c r="J19" i="48"/>
  <c r="J21" i="48" s="1"/>
  <c r="J23" i="48" s="1"/>
  <c r="J26" i="48" s="1"/>
  <c r="J28" i="48" s="1"/>
  <c r="I19" i="48"/>
  <c r="I21" i="48" s="1"/>
  <c r="I19" i="95"/>
  <c r="I21" i="95" s="1"/>
  <c r="J19" i="83"/>
  <c r="J21" i="83" s="1"/>
  <c r="I19" i="83"/>
  <c r="I21" i="83" s="1"/>
  <c r="J19" i="60"/>
  <c r="J21" i="60" s="1"/>
  <c r="J23" i="60" s="1"/>
  <c r="J26" i="60" s="1"/>
  <c r="J28" i="60" s="1"/>
  <c r="I19" i="60"/>
  <c r="I21" i="60" s="1"/>
  <c r="J19" i="86"/>
  <c r="J21" i="86" s="1"/>
  <c r="J23" i="86" s="1"/>
  <c r="J26" i="86" s="1"/>
  <c r="J28" i="86" s="1"/>
  <c r="I19" i="86"/>
  <c r="I21" i="86" s="1"/>
  <c r="I23" i="86" s="1"/>
  <c r="I26" i="86" s="1"/>
  <c r="I28" i="86" s="1"/>
  <c r="J19" i="84"/>
  <c r="J21" i="84" s="1"/>
  <c r="J23" i="84" s="1"/>
  <c r="J26" i="84" s="1"/>
  <c r="J28" i="84" s="1"/>
  <c r="I19" i="84"/>
  <c r="I21" i="84" s="1"/>
  <c r="J19" i="85"/>
  <c r="J21" i="85" s="1"/>
  <c r="I19" i="85"/>
  <c r="I21" i="85" s="1"/>
  <c r="G19" i="139"/>
  <c r="M23" i="150" l="1"/>
  <c r="M26" i="150" s="1"/>
  <c r="M28" i="150" s="1"/>
  <c r="L23" i="150"/>
  <c r="L26" i="150" s="1"/>
  <c r="L28" i="150" s="1"/>
  <c r="K23" i="150"/>
  <c r="N23" i="149"/>
  <c r="N26" i="149" s="1"/>
  <c r="N28" i="149"/>
  <c r="L23" i="149"/>
  <c r="L26" i="149" s="1"/>
  <c r="L28" i="149" s="1"/>
  <c r="K23" i="149"/>
  <c r="H36" i="150"/>
  <c r="I36" i="149"/>
  <c r="J36" i="149" s="1"/>
  <c r="I36" i="145"/>
  <c r="J36" i="145" s="1"/>
  <c r="J36" i="146"/>
  <c r="K36" i="146" s="1"/>
  <c r="L36" i="146" s="1"/>
  <c r="M36" i="146" s="1"/>
  <c r="G36" i="144"/>
  <c r="H36" i="144"/>
  <c r="H36" i="148"/>
  <c r="H36" i="142"/>
  <c r="I36" i="142"/>
  <c r="J36" i="142"/>
  <c r="J36" i="141"/>
  <c r="G36" i="140"/>
  <c r="H36" i="140"/>
  <c r="I36" i="140"/>
  <c r="L36" i="139"/>
  <c r="K36" i="139"/>
  <c r="J36" i="137"/>
  <c r="L36" i="137" s="1"/>
  <c r="K36" i="137"/>
  <c r="F36" i="135"/>
  <c r="G36" i="134"/>
  <c r="H36" i="134"/>
  <c r="H36" i="132"/>
  <c r="I36" i="130"/>
  <c r="H36" i="129"/>
  <c r="E36" i="128"/>
  <c r="G36" i="127"/>
  <c r="H36" i="127"/>
  <c r="F36" i="125"/>
  <c r="L36" i="124"/>
  <c r="N36" i="124" s="1"/>
  <c r="O36" i="124" s="1"/>
  <c r="M36" i="124"/>
  <c r="K36" i="124"/>
  <c r="I36" i="122"/>
  <c r="J36" i="122"/>
  <c r="I36" i="90"/>
  <c r="J36" i="90"/>
  <c r="H36" i="105"/>
  <c r="G36" i="105"/>
  <c r="H36" i="106"/>
  <c r="I36" i="106"/>
  <c r="J36" i="106" s="1"/>
  <c r="K36" i="106" s="1"/>
  <c r="L36" i="106" s="1"/>
  <c r="K36" i="57"/>
  <c r="L36" i="57" s="1"/>
  <c r="I36" i="69"/>
  <c r="J36" i="69" s="1"/>
  <c r="H36" i="76"/>
  <c r="J36" i="97"/>
  <c r="K36" i="97"/>
  <c r="L36" i="97" s="1"/>
  <c r="K36" i="98"/>
  <c r="K36" i="62"/>
  <c r="L36" i="62" s="1"/>
  <c r="I36" i="68"/>
  <c r="J36" i="68"/>
  <c r="I36" i="103"/>
  <c r="K36" i="103"/>
  <c r="J36" i="103"/>
  <c r="I36" i="65"/>
  <c r="J36" i="65" s="1"/>
  <c r="H36" i="52"/>
  <c r="G36" i="50"/>
  <c r="F36" i="50"/>
  <c r="G36" i="79"/>
  <c r="J36" i="70"/>
  <c r="K36" i="70" s="1"/>
  <c r="K36" i="51"/>
  <c r="I36" i="87"/>
  <c r="G36" i="138"/>
  <c r="L36" i="58"/>
  <c r="M36" i="58" s="1"/>
  <c r="K36" i="58"/>
  <c r="I36" i="72"/>
  <c r="J36" i="71"/>
  <c r="J36" i="53"/>
  <c r="G36" i="64"/>
  <c r="H36" i="64" s="1"/>
  <c r="G36" i="49"/>
  <c r="H36" i="49" s="1"/>
  <c r="I23" i="48"/>
  <c r="I26" i="48" s="1"/>
  <c r="I28" i="48" s="1"/>
  <c r="I23" i="66"/>
  <c r="I26" i="66" s="1"/>
  <c r="I28" i="66" s="1"/>
  <c r="J23" i="66"/>
  <c r="J26" i="66" s="1"/>
  <c r="J28" i="66"/>
  <c r="J23" i="61"/>
  <c r="J26" i="61" s="1"/>
  <c r="J28" i="61"/>
  <c r="J23" i="3"/>
  <c r="J26" i="3" s="1"/>
  <c r="J28" i="3"/>
  <c r="J23" i="96"/>
  <c r="J26" i="96" s="1"/>
  <c r="J28" i="96"/>
  <c r="I23" i="117"/>
  <c r="I26" i="117" s="1"/>
  <c r="I28" i="117" s="1"/>
  <c r="J23" i="85"/>
  <c r="J26" i="85" s="1"/>
  <c r="J28" i="85"/>
  <c r="J23" i="83"/>
  <c r="J26" i="83" s="1"/>
  <c r="J28" i="83"/>
  <c r="I23" i="67"/>
  <c r="I26" i="67" s="1"/>
  <c r="I28" i="67" s="1"/>
  <c r="I23" i="81"/>
  <c r="I26" i="81" s="1"/>
  <c r="I28" i="81" s="1"/>
  <c r="I23" i="55"/>
  <c r="I26" i="55" s="1"/>
  <c r="I28" i="55"/>
  <c r="Q19" i="149"/>
  <c r="Q21" i="149" s="1"/>
  <c r="Q23" i="149" s="1"/>
  <c r="Q26" i="149" s="1"/>
  <c r="Q28" i="149" s="1"/>
  <c r="Q30" i="149" s="1"/>
  <c r="O19" i="150"/>
  <c r="O21" i="150" s="1"/>
  <c r="I23" i="96"/>
  <c r="I26" i="96" s="1"/>
  <c r="I28" i="96" s="1"/>
  <c r="I23" i="85"/>
  <c r="I26" i="85" s="1"/>
  <c r="I28" i="85" s="1"/>
  <c r="I23" i="83"/>
  <c r="I26" i="83" s="1"/>
  <c r="I28" i="83" s="1"/>
  <c r="I23" i="84"/>
  <c r="I26" i="84" s="1"/>
  <c r="I28" i="84" s="1"/>
  <c r="I23" i="60"/>
  <c r="I26" i="60" s="1"/>
  <c r="I28" i="60" s="1"/>
  <c r="I23" i="95"/>
  <c r="I26" i="95" s="1"/>
  <c r="I28" i="95" s="1"/>
  <c r="J23" i="67"/>
  <c r="J26" i="67" s="1"/>
  <c r="J28" i="67"/>
  <c r="J23" i="81"/>
  <c r="J26" i="81" s="1"/>
  <c r="J28" i="81"/>
  <c r="J23" i="56"/>
  <c r="J26" i="56" s="1"/>
  <c r="J28" i="56"/>
  <c r="J23" i="55"/>
  <c r="J26" i="55" s="1"/>
  <c r="J28" i="55"/>
  <c r="P13" i="149"/>
  <c r="P19" i="149" s="1"/>
  <c r="P21" i="149" s="1"/>
  <c r="Q19" i="150"/>
  <c r="Q21" i="150" s="1"/>
  <c r="Q23" i="150" s="1"/>
  <c r="Q26" i="150" s="1"/>
  <c r="Q28" i="150" s="1"/>
  <c r="Q30" i="150" s="1"/>
  <c r="H102" i="32"/>
  <c r="G102" i="32"/>
  <c r="G91" i="32"/>
  <c r="H84" i="32"/>
  <c r="H91" i="32" s="1"/>
  <c r="P13" i="150"/>
  <c r="P19" i="150" s="1"/>
  <c r="P21" i="150" s="1"/>
  <c r="O19" i="149"/>
  <c r="O21" i="149" s="1"/>
  <c r="E80" i="32"/>
  <c r="G77" i="32"/>
  <c r="H77" i="32" s="1"/>
  <c r="G76" i="32"/>
  <c r="H76" i="32" s="1"/>
  <c r="G75" i="32"/>
  <c r="H75" i="32" s="1"/>
  <c r="G74" i="32"/>
  <c r="H74" i="32" s="1"/>
  <c r="G73" i="32"/>
  <c r="H73" i="32" s="1"/>
  <c r="G72" i="32"/>
  <c r="E68" i="32"/>
  <c r="G66" i="32"/>
  <c r="H66" i="32" s="1"/>
  <c r="G65" i="32"/>
  <c r="H65" i="32" s="1"/>
  <c r="U97" i="29"/>
  <c r="U96" i="29"/>
  <c r="U95" i="29"/>
  <c r="U94" i="29"/>
  <c r="U93" i="29"/>
  <c r="U92" i="29"/>
  <c r="U91" i="29"/>
  <c r="D66" i="148"/>
  <c r="P31" i="148"/>
  <c r="Q31" i="148" s="1"/>
  <c r="N19" i="148"/>
  <c r="M19" i="148"/>
  <c r="L19" i="148"/>
  <c r="K19" i="148"/>
  <c r="J19" i="148"/>
  <c r="I19" i="148"/>
  <c r="H19" i="148"/>
  <c r="G19" i="148"/>
  <c r="W100" i="29" s="1"/>
  <c r="F19" i="148"/>
  <c r="E19" i="148"/>
  <c r="D19" i="148"/>
  <c r="C19" i="148"/>
  <c r="Q18" i="148"/>
  <c r="P18" i="148" s="1"/>
  <c r="Q17" i="148"/>
  <c r="P17" i="148" s="1"/>
  <c r="O17" i="148"/>
  <c r="Q16" i="148"/>
  <c r="P16" i="148" s="1"/>
  <c r="Q15" i="148"/>
  <c r="P15" i="148" s="1"/>
  <c r="O15" i="148"/>
  <c r="Q14" i="148"/>
  <c r="P14" i="148" s="1"/>
  <c r="Q13" i="148"/>
  <c r="O13" i="148"/>
  <c r="D66" i="147"/>
  <c r="N19" i="147"/>
  <c r="N21" i="147" s="1"/>
  <c r="N23" i="147" s="1"/>
  <c r="N26" i="147" s="1"/>
  <c r="N28" i="147" s="1"/>
  <c r="M19" i="147"/>
  <c r="M21" i="147" s="1"/>
  <c r="L19" i="147"/>
  <c r="L21" i="147" s="1"/>
  <c r="K19" i="147"/>
  <c r="K21" i="147" s="1"/>
  <c r="J19" i="147"/>
  <c r="AC99" i="29" s="1"/>
  <c r="I19" i="147"/>
  <c r="AA99" i="29" s="1"/>
  <c r="H19" i="147"/>
  <c r="Y99" i="29" s="1"/>
  <c r="G19" i="147"/>
  <c r="F19" i="147"/>
  <c r="E19" i="147"/>
  <c r="D19" i="147"/>
  <c r="C19" i="147"/>
  <c r="Q18" i="147"/>
  <c r="P18" i="147" s="1"/>
  <c r="Q17" i="147"/>
  <c r="P17" i="147" s="1"/>
  <c r="O17" i="147"/>
  <c r="Q16" i="147"/>
  <c r="P16" i="147" s="1"/>
  <c r="Q15" i="147"/>
  <c r="P15" i="147" s="1"/>
  <c r="O15" i="147"/>
  <c r="Q14" i="147"/>
  <c r="P14" i="147" s="1"/>
  <c r="Q13" i="147"/>
  <c r="O13" i="147"/>
  <c r="D66" i="146"/>
  <c r="N19" i="146"/>
  <c r="M19" i="146"/>
  <c r="L19" i="146"/>
  <c r="K19" i="146"/>
  <c r="J19" i="146"/>
  <c r="I19" i="146"/>
  <c r="H19" i="146"/>
  <c r="Y98" i="29" s="1"/>
  <c r="G19" i="146"/>
  <c r="W98" i="29" s="1"/>
  <c r="F19" i="146"/>
  <c r="E19" i="146"/>
  <c r="D19" i="146"/>
  <c r="C19" i="146"/>
  <c r="Q18" i="146"/>
  <c r="P18" i="146" s="1"/>
  <c r="Q17" i="146"/>
  <c r="P17" i="146" s="1"/>
  <c r="O17" i="146"/>
  <c r="Q16" i="146"/>
  <c r="P16" i="146" s="1"/>
  <c r="Q15" i="146"/>
  <c r="P15" i="146" s="1"/>
  <c r="O15" i="146"/>
  <c r="Q14" i="146"/>
  <c r="P14" i="146" s="1"/>
  <c r="Q13" i="146"/>
  <c r="O13" i="146"/>
  <c r="G19" i="129"/>
  <c r="H19" i="124"/>
  <c r="G19" i="124"/>
  <c r="H19" i="127"/>
  <c r="G19" i="127"/>
  <c r="H19" i="105"/>
  <c r="H19" i="130"/>
  <c r="G19" i="130"/>
  <c r="H19" i="106"/>
  <c r="G19" i="106"/>
  <c r="H19" i="57"/>
  <c r="G19" i="57"/>
  <c r="H19" i="69"/>
  <c r="G19" i="69"/>
  <c r="H19" i="76"/>
  <c r="G19" i="76"/>
  <c r="H19" i="98"/>
  <c r="G19" i="98"/>
  <c r="G19" i="62"/>
  <c r="H19" i="62"/>
  <c r="H19" i="68"/>
  <c r="G19" i="68"/>
  <c r="H19" i="65"/>
  <c r="G19" i="65"/>
  <c r="H19" i="52"/>
  <c r="G19" i="52"/>
  <c r="H19" i="50"/>
  <c r="G19" i="50"/>
  <c r="H19" i="79"/>
  <c r="G19" i="79"/>
  <c r="H19" i="70"/>
  <c r="G19" i="70"/>
  <c r="H19" i="51"/>
  <c r="G19" i="51"/>
  <c r="H19" i="87"/>
  <c r="G19" i="87"/>
  <c r="H19" i="138"/>
  <c r="G19" i="138"/>
  <c r="H19" i="58"/>
  <c r="G19" i="58"/>
  <c r="H19" i="72"/>
  <c r="G19" i="72"/>
  <c r="H19" i="47"/>
  <c r="G19" i="47"/>
  <c r="H19" i="71"/>
  <c r="G19" i="71"/>
  <c r="H19" i="53"/>
  <c r="G19" i="53"/>
  <c r="H19" i="64"/>
  <c r="G19" i="64"/>
  <c r="H19" i="49"/>
  <c r="G19" i="49"/>
  <c r="H19" i="96"/>
  <c r="H21" i="96" s="1"/>
  <c r="G19" i="96"/>
  <c r="G21" i="96" s="1"/>
  <c r="H19" i="3"/>
  <c r="H21" i="3" s="1"/>
  <c r="H19" i="55"/>
  <c r="H21" i="55" s="1"/>
  <c r="H19" i="56"/>
  <c r="H21" i="56" s="1"/>
  <c r="H19" i="61"/>
  <c r="H21" i="61" s="1"/>
  <c r="H19" i="81"/>
  <c r="H21" i="81" s="1"/>
  <c r="H19" i="66"/>
  <c r="H21" i="66" s="1"/>
  <c r="G19" i="66"/>
  <c r="G21" i="66" s="1"/>
  <c r="H19" i="67"/>
  <c r="H21" i="67" s="1"/>
  <c r="H19" i="48"/>
  <c r="H21" i="48" s="1"/>
  <c r="H19" i="95"/>
  <c r="H21" i="95" s="1"/>
  <c r="H19" i="60"/>
  <c r="H21" i="60" s="1"/>
  <c r="H19" i="83"/>
  <c r="H21" i="83" s="1"/>
  <c r="H19" i="90"/>
  <c r="H19" i="134"/>
  <c r="H19" i="135"/>
  <c r="H19" i="128"/>
  <c r="G19" i="128"/>
  <c r="G19" i="132"/>
  <c r="H19" i="132"/>
  <c r="H19" i="86"/>
  <c r="H21" i="86" s="1"/>
  <c r="H23" i="86" s="1"/>
  <c r="H26" i="86" s="1"/>
  <c r="H28" i="86" s="1"/>
  <c r="H19" i="84"/>
  <c r="H21" i="84" s="1"/>
  <c r="H19" i="85"/>
  <c r="H21" i="85" s="1"/>
  <c r="G19" i="3"/>
  <c r="G21" i="3" s="1"/>
  <c r="G19" i="55"/>
  <c r="G21" i="55" s="1"/>
  <c r="G19" i="48"/>
  <c r="G21" i="48" s="1"/>
  <c r="G23" i="48" s="1"/>
  <c r="G26" i="48" s="1"/>
  <c r="G28" i="48" s="1"/>
  <c r="G19" i="95"/>
  <c r="G21" i="95" s="1"/>
  <c r="G23" i="95" s="1"/>
  <c r="G26" i="95" s="1"/>
  <c r="G28" i="95" s="1"/>
  <c r="G19" i="56"/>
  <c r="G21" i="56" s="1"/>
  <c r="G19" i="61"/>
  <c r="G21" i="61" s="1"/>
  <c r="G19" i="81"/>
  <c r="G21" i="81" s="1"/>
  <c r="G19" i="67"/>
  <c r="G21" i="67" s="1"/>
  <c r="G19" i="60"/>
  <c r="G21" i="60" s="1"/>
  <c r="G23" i="60" s="1"/>
  <c r="G26" i="60" s="1"/>
  <c r="G28" i="60" s="1"/>
  <c r="G19" i="83"/>
  <c r="G21" i="83" s="1"/>
  <c r="G19" i="117"/>
  <c r="G21" i="117" s="1"/>
  <c r="G19" i="86"/>
  <c r="G21" i="86" s="1"/>
  <c r="G23" i="86" s="1"/>
  <c r="G26" i="86" s="1"/>
  <c r="G28" i="86" s="1"/>
  <c r="G19" i="84"/>
  <c r="G21" i="84" s="1"/>
  <c r="G23" i="84" s="1"/>
  <c r="G26" i="84" s="1"/>
  <c r="G28" i="84" s="1"/>
  <c r="G19" i="85"/>
  <c r="G21" i="85" s="1"/>
  <c r="G19" i="135"/>
  <c r="G19" i="134"/>
  <c r="G19" i="105"/>
  <c r="G19" i="90"/>
  <c r="M36" i="139" l="1"/>
  <c r="AJ92" i="29" s="1"/>
  <c r="AH92" i="29"/>
  <c r="K26" i="150"/>
  <c r="K28" i="150" s="1"/>
  <c r="O26" i="150"/>
  <c r="O28" i="150" s="1"/>
  <c r="O30" i="150" s="1"/>
  <c r="K26" i="149"/>
  <c r="K28" i="149" s="1"/>
  <c r="O26" i="149"/>
  <c r="O28" i="149" s="1"/>
  <c r="O30" i="149" s="1"/>
  <c r="M23" i="147"/>
  <c r="M26" i="147" s="1"/>
  <c r="M28" i="147" s="1"/>
  <c r="L23" i="147"/>
  <c r="L26" i="147" s="1"/>
  <c r="L28" i="147"/>
  <c r="K23" i="147"/>
  <c r="M36" i="57"/>
  <c r="N36" i="57" s="1"/>
  <c r="O36" i="57" s="1"/>
  <c r="I36" i="150"/>
  <c r="K36" i="145"/>
  <c r="L36" i="145" s="1"/>
  <c r="M36" i="145" s="1"/>
  <c r="N36" i="145" s="1"/>
  <c r="O36" i="145" s="1"/>
  <c r="N36" i="146"/>
  <c r="O36" i="146" s="1"/>
  <c r="I36" i="144"/>
  <c r="I36" i="148"/>
  <c r="J36" i="148"/>
  <c r="K36" i="148"/>
  <c r="L36" i="148" s="1"/>
  <c r="M36" i="148" s="1"/>
  <c r="J36" i="140"/>
  <c r="K36" i="140"/>
  <c r="L36" i="140" s="1"/>
  <c r="M36" i="140" s="1"/>
  <c r="N36" i="140" s="1"/>
  <c r="O36" i="140" s="1"/>
  <c r="N36" i="139"/>
  <c r="M36" i="137"/>
  <c r="N36" i="137" s="1"/>
  <c r="O36" i="137" s="1"/>
  <c r="G36" i="135"/>
  <c r="I36" i="134"/>
  <c r="I36" i="132"/>
  <c r="J36" i="130"/>
  <c r="K36" i="130"/>
  <c r="I36" i="129"/>
  <c r="J36" i="129"/>
  <c r="K36" i="129" s="1"/>
  <c r="L36" i="129"/>
  <c r="M36" i="129" s="1"/>
  <c r="F36" i="128"/>
  <c r="I36" i="127"/>
  <c r="J36" i="127" s="1"/>
  <c r="G36" i="125"/>
  <c r="H36" i="125"/>
  <c r="K36" i="122"/>
  <c r="L36" i="122" s="1"/>
  <c r="M36" i="122" s="1"/>
  <c r="N36" i="122" s="1"/>
  <c r="O36" i="122" s="1"/>
  <c r="K36" i="90"/>
  <c r="L36" i="90" s="1"/>
  <c r="M36" i="90" s="1"/>
  <c r="N36" i="90" s="1"/>
  <c r="O36" i="90" s="1"/>
  <c r="J36" i="105"/>
  <c r="K36" i="105" s="1"/>
  <c r="L36" i="105" s="1"/>
  <c r="I36" i="105"/>
  <c r="M36" i="105" s="1"/>
  <c r="M36" i="106"/>
  <c r="N36" i="106" s="1"/>
  <c r="O36" i="106" s="1"/>
  <c r="L36" i="69"/>
  <c r="M36" i="69" s="1"/>
  <c r="K36" i="69"/>
  <c r="I36" i="76"/>
  <c r="M36" i="97"/>
  <c r="N36" i="97" s="1"/>
  <c r="O36" i="97" s="1"/>
  <c r="L36" i="98"/>
  <c r="M36" i="62"/>
  <c r="N36" i="62" s="1"/>
  <c r="O36" i="62" s="1"/>
  <c r="K36" i="68"/>
  <c r="L36" i="68"/>
  <c r="M36" i="68" s="1"/>
  <c r="L36" i="103"/>
  <c r="M36" i="103" s="1"/>
  <c r="N36" i="103" s="1"/>
  <c r="K36" i="65"/>
  <c r="L36" i="65"/>
  <c r="I36" i="52"/>
  <c r="J36" i="52" s="1"/>
  <c r="H36" i="50"/>
  <c r="J36" i="50"/>
  <c r="K36" i="50"/>
  <c r="L36" i="50" s="1"/>
  <c r="M36" i="50" s="1"/>
  <c r="I36" i="50"/>
  <c r="H36" i="79"/>
  <c r="I36" i="79" s="1"/>
  <c r="L36" i="70"/>
  <c r="M36" i="70"/>
  <c r="N36" i="70" s="1"/>
  <c r="O36" i="70" s="1"/>
  <c r="L36" i="51"/>
  <c r="M36" i="51" s="1"/>
  <c r="J36" i="87"/>
  <c r="K36" i="87" s="1"/>
  <c r="L36" i="87" s="1"/>
  <c r="M36" i="87" s="1"/>
  <c r="N36" i="87" s="1"/>
  <c r="O36" i="87" s="1"/>
  <c r="H36" i="138"/>
  <c r="J36" i="72"/>
  <c r="K36" i="72" s="1"/>
  <c r="K36" i="71"/>
  <c r="K36" i="53"/>
  <c r="L36" i="53" s="1"/>
  <c r="M36" i="53" s="1"/>
  <c r="I36" i="64"/>
  <c r="J36" i="64" s="1"/>
  <c r="K36" i="64" s="1"/>
  <c r="L36" i="64" s="1"/>
  <c r="M36" i="64" s="1"/>
  <c r="N36" i="64" s="1"/>
  <c r="O36" i="64" s="1"/>
  <c r="I36" i="49"/>
  <c r="J36" i="49"/>
  <c r="K36" i="49" s="1"/>
  <c r="L36" i="49" s="1"/>
  <c r="M36" i="49" s="1"/>
  <c r="N36" i="49" s="1"/>
  <c r="O36" i="49" s="1"/>
  <c r="G23" i="117"/>
  <c r="G26" i="117" s="1"/>
  <c r="G28" i="117"/>
  <c r="G23" i="81"/>
  <c r="G26" i="81" s="1"/>
  <c r="G28" i="81"/>
  <c r="H23" i="84"/>
  <c r="H26" i="84" s="1"/>
  <c r="H28" i="84"/>
  <c r="H23" i="48"/>
  <c r="H26" i="48" s="1"/>
  <c r="H28" i="48"/>
  <c r="H23" i="81"/>
  <c r="H26" i="81" s="1"/>
  <c r="H28" i="81"/>
  <c r="H23" i="3"/>
  <c r="H26" i="3" s="1"/>
  <c r="H28" i="3"/>
  <c r="G23" i="85"/>
  <c r="G26" i="85" s="1"/>
  <c r="G28" i="85"/>
  <c r="G23" i="83"/>
  <c r="G26" i="83" s="1"/>
  <c r="G28" i="83" s="1"/>
  <c r="G23" i="61"/>
  <c r="G26" i="61" s="1"/>
  <c r="G28" i="61"/>
  <c r="G28" i="55"/>
  <c r="G23" i="55"/>
  <c r="G26" i="55" s="1"/>
  <c r="H23" i="83"/>
  <c r="H26" i="83" s="1"/>
  <c r="H28" i="83"/>
  <c r="H23" i="67"/>
  <c r="H26" i="67" s="1"/>
  <c r="H28" i="67" s="1"/>
  <c r="H23" i="61"/>
  <c r="H26" i="61" s="1"/>
  <c r="H28" i="61" s="1"/>
  <c r="G28" i="96"/>
  <c r="G23" i="96"/>
  <c r="G26" i="96" s="1"/>
  <c r="G23" i="56"/>
  <c r="G26" i="56" s="1"/>
  <c r="G28" i="56"/>
  <c r="G23" i="3"/>
  <c r="G26" i="3" s="1"/>
  <c r="G28" i="3" s="1"/>
  <c r="H23" i="60"/>
  <c r="H26" i="60" s="1"/>
  <c r="H28" i="60"/>
  <c r="G23" i="66"/>
  <c r="G26" i="66" s="1"/>
  <c r="G28" i="66" s="1"/>
  <c r="H23" i="56"/>
  <c r="H26" i="56" s="1"/>
  <c r="H28" i="56" s="1"/>
  <c r="H23" i="96"/>
  <c r="H26" i="96" s="1"/>
  <c r="H28" i="96" s="1"/>
  <c r="O19" i="147"/>
  <c r="O21" i="147" s="1"/>
  <c r="G23" i="67"/>
  <c r="G26" i="67" s="1"/>
  <c r="G28" i="67"/>
  <c r="H23" i="85"/>
  <c r="H26" i="85" s="1"/>
  <c r="H28" i="85"/>
  <c r="H23" i="95"/>
  <c r="H26" i="95" s="1"/>
  <c r="H28" i="95"/>
  <c r="H23" i="66"/>
  <c r="H26" i="66" s="1"/>
  <c r="H28" i="66"/>
  <c r="H23" i="55"/>
  <c r="H26" i="55" s="1"/>
  <c r="H28" i="55"/>
  <c r="W99" i="29"/>
  <c r="Q19" i="147"/>
  <c r="Q21" i="147" s="1"/>
  <c r="Q23" i="147" s="1"/>
  <c r="Q26" i="147" s="1"/>
  <c r="Q28" i="147" s="1"/>
  <c r="Q30" i="147" s="1"/>
  <c r="P31" i="146"/>
  <c r="Q31" i="146" s="1"/>
  <c r="C41" i="150"/>
  <c r="P23" i="150"/>
  <c r="P26" i="150" s="1"/>
  <c r="P28" i="150" s="1"/>
  <c r="P30" i="150" s="1"/>
  <c r="P23" i="149"/>
  <c r="P26" i="149" s="1"/>
  <c r="P28" i="149" s="1"/>
  <c r="P30" i="149" s="1"/>
  <c r="G80" i="32"/>
  <c r="H72" i="32"/>
  <c r="H80" i="32" s="1"/>
  <c r="G68" i="32"/>
  <c r="H68" i="32"/>
  <c r="Q19" i="148"/>
  <c r="Q21" i="148" s="1"/>
  <c r="P13" i="148"/>
  <c r="P19" i="148" s="1"/>
  <c r="P21" i="148" s="1"/>
  <c r="P13" i="147"/>
  <c r="P19" i="147" s="1"/>
  <c r="P21" i="147" s="1"/>
  <c r="O19" i="146"/>
  <c r="Q19" i="146"/>
  <c r="Q21" i="146" s="1"/>
  <c r="P13" i="146"/>
  <c r="P19" i="146" s="1"/>
  <c r="P21" i="146" s="1"/>
  <c r="O36" i="139" l="1"/>
  <c r="AL92" i="29"/>
  <c r="O31" i="150"/>
  <c r="P31" i="150" s="1"/>
  <c r="Q31" i="150" s="1"/>
  <c r="Q32" i="150" s="1"/>
  <c r="Q33" i="150" s="1"/>
  <c r="Q35" i="150" s="1"/>
  <c r="Q36" i="150" s="1"/>
  <c r="Q41" i="150" s="1"/>
  <c r="L30" i="150"/>
  <c r="K30" i="150"/>
  <c r="N30" i="150"/>
  <c r="N31" i="150" s="1"/>
  <c r="N32" i="150" s="1"/>
  <c r="N33" i="150" s="1"/>
  <c r="N35" i="150" s="1"/>
  <c r="M30" i="150"/>
  <c r="M31" i="150" s="1"/>
  <c r="M32" i="150" s="1"/>
  <c r="M33" i="150" s="1"/>
  <c r="M35" i="150" s="1"/>
  <c r="O31" i="149"/>
  <c r="P31" i="149" s="1"/>
  <c r="Q31" i="149" s="1"/>
  <c r="Q32" i="149" s="1"/>
  <c r="Q33" i="149" s="1"/>
  <c r="Q35" i="149" s="1"/>
  <c r="Q36" i="149" s="1"/>
  <c r="Q41" i="149" s="1"/>
  <c r="N30" i="149"/>
  <c r="N31" i="149" s="1"/>
  <c r="N32" i="149" s="1"/>
  <c r="N33" i="149" s="1"/>
  <c r="N35" i="149" s="1"/>
  <c r="K30" i="149"/>
  <c r="M30" i="149"/>
  <c r="M31" i="149" s="1"/>
  <c r="M32" i="149" s="1"/>
  <c r="M33" i="149" s="1"/>
  <c r="M35" i="149" s="1"/>
  <c r="L30" i="149"/>
  <c r="L31" i="149" s="1"/>
  <c r="L32" i="149" s="1"/>
  <c r="L33" i="149" s="1"/>
  <c r="L35" i="149" s="1"/>
  <c r="K26" i="147"/>
  <c r="K28" i="147" s="1"/>
  <c r="O26" i="147"/>
  <c r="O28" i="147" s="1"/>
  <c r="O30" i="147" s="1"/>
  <c r="M36" i="65"/>
  <c r="N36" i="65" s="1"/>
  <c r="O36" i="65" s="1"/>
  <c r="J36" i="150"/>
  <c r="J36" i="144"/>
  <c r="N36" i="148"/>
  <c r="O36" i="148" s="1"/>
  <c r="H36" i="135"/>
  <c r="I36" i="135" s="1"/>
  <c r="J36" i="135" s="1"/>
  <c r="K36" i="135" s="1"/>
  <c r="L36" i="135" s="1"/>
  <c r="M36" i="135" s="1"/>
  <c r="N36" i="135" s="1"/>
  <c r="O36" i="135" s="1"/>
  <c r="J36" i="134"/>
  <c r="K36" i="134" s="1"/>
  <c r="L36" i="134" s="1"/>
  <c r="M36" i="134" s="1"/>
  <c r="J36" i="132"/>
  <c r="L36" i="130"/>
  <c r="M36" i="130" s="1"/>
  <c r="N36" i="130" s="1"/>
  <c r="O36" i="130" s="1"/>
  <c r="N36" i="129"/>
  <c r="O36" i="129"/>
  <c r="G36" i="128"/>
  <c r="K36" i="127"/>
  <c r="L36" i="127" s="1"/>
  <c r="M36" i="127" s="1"/>
  <c r="N36" i="127" s="1"/>
  <c r="O36" i="127" s="1"/>
  <c r="I36" i="125"/>
  <c r="J36" i="125" s="1"/>
  <c r="N36" i="105"/>
  <c r="O36" i="105" s="1"/>
  <c r="N36" i="69"/>
  <c r="O36" i="69" s="1"/>
  <c r="J36" i="76"/>
  <c r="K36" i="76" s="1"/>
  <c r="M36" i="98"/>
  <c r="N36" i="98" s="1"/>
  <c r="N36" i="68"/>
  <c r="O36" i="68" s="1"/>
  <c r="O36" i="103"/>
  <c r="K36" i="52"/>
  <c r="L36" i="52" s="1"/>
  <c r="M36" i="52" s="1"/>
  <c r="N36" i="52" s="1"/>
  <c r="O36" i="52" s="1"/>
  <c r="N36" i="50"/>
  <c r="J36" i="79"/>
  <c r="K36" i="79" s="1"/>
  <c r="L36" i="79" s="1"/>
  <c r="M36" i="79" s="1"/>
  <c r="N36" i="79" s="1"/>
  <c r="O36" i="79" s="1"/>
  <c r="I36" i="138"/>
  <c r="J36" i="138" s="1"/>
  <c r="K36" i="138" s="1"/>
  <c r="L36" i="138" s="1"/>
  <c r="M36" i="138" s="1"/>
  <c r="N36" i="138" s="1"/>
  <c r="O36" i="138" s="1"/>
  <c r="L36" i="72"/>
  <c r="M36" i="72" s="1"/>
  <c r="N36" i="72" s="1"/>
  <c r="O36" i="72" s="1"/>
  <c r="L36" i="71"/>
  <c r="M36" i="71" s="1"/>
  <c r="N36" i="53"/>
  <c r="O36" i="53" s="1"/>
  <c r="D41" i="150"/>
  <c r="C41" i="149"/>
  <c r="P23" i="148"/>
  <c r="P26" i="148" s="1"/>
  <c r="P28" i="148" s="1"/>
  <c r="P30" i="148" s="1"/>
  <c r="P32" i="148" s="1"/>
  <c r="P35" i="148" s="1"/>
  <c r="Q23" i="148"/>
  <c r="Q26" i="148" s="1"/>
  <c r="Q28" i="148" s="1"/>
  <c r="Q30" i="148" s="1"/>
  <c r="Q32" i="148" s="1"/>
  <c r="Q35" i="148" s="1"/>
  <c r="Q36" i="148" s="1"/>
  <c r="Q41" i="148" s="1"/>
  <c r="C41" i="147"/>
  <c r="P23" i="147"/>
  <c r="P26" i="147" s="1"/>
  <c r="P28" i="147" s="1"/>
  <c r="P30" i="147" s="1"/>
  <c r="Q23" i="146"/>
  <c r="Q26" i="146" s="1"/>
  <c r="Q28" i="146" s="1"/>
  <c r="Q30" i="146" s="1"/>
  <c r="Q32" i="146" s="1"/>
  <c r="Q35" i="146" s="1"/>
  <c r="Q36" i="146" s="1"/>
  <c r="Q41" i="146" s="1"/>
  <c r="P23" i="146"/>
  <c r="P26" i="146" s="1"/>
  <c r="P28" i="146" s="1"/>
  <c r="P30" i="146" s="1"/>
  <c r="P32" i="146" s="1"/>
  <c r="P35" i="146" s="1"/>
  <c r="O32" i="150" l="1"/>
  <c r="O33" i="150" s="1"/>
  <c r="O35" i="150" s="1"/>
  <c r="L31" i="150"/>
  <c r="L32" i="150" s="1"/>
  <c r="L33" i="150" s="1"/>
  <c r="L35" i="150" s="1"/>
  <c r="K31" i="150"/>
  <c r="K32" i="150" s="1"/>
  <c r="K33" i="150" s="1"/>
  <c r="K35" i="150" s="1"/>
  <c r="K36" i="150" s="1"/>
  <c r="P32" i="150"/>
  <c r="P33" i="150" s="1"/>
  <c r="P35" i="150" s="1"/>
  <c r="P32" i="149"/>
  <c r="P33" i="149" s="1"/>
  <c r="P35" i="149" s="1"/>
  <c r="K31" i="149"/>
  <c r="K32" i="149"/>
  <c r="K33" i="149" s="1"/>
  <c r="K35" i="149" s="1"/>
  <c r="K36" i="149" s="1"/>
  <c r="L36" i="149" s="1"/>
  <c r="O32" i="149"/>
  <c r="O33" i="149" s="1"/>
  <c r="O35" i="149" s="1"/>
  <c r="O31" i="147"/>
  <c r="P31" i="147" s="1"/>
  <c r="Q31" i="147" s="1"/>
  <c r="Q32" i="147" s="1"/>
  <c r="Q35" i="147" s="1"/>
  <c r="Q36" i="147" s="1"/>
  <c r="Q41" i="147" s="1"/>
  <c r="M30" i="147"/>
  <c r="M31" i="147" s="1"/>
  <c r="M32" i="147" s="1"/>
  <c r="M33" i="147" s="1"/>
  <c r="M35" i="147" s="1"/>
  <c r="K30" i="147"/>
  <c r="L30" i="147"/>
  <c r="L31" i="147" s="1"/>
  <c r="L32" i="147" s="1"/>
  <c r="L33" i="147" s="1"/>
  <c r="L35" i="147" s="1"/>
  <c r="N30" i="147"/>
  <c r="N31" i="147" s="1"/>
  <c r="N32" i="147" s="1"/>
  <c r="N33" i="147" s="1"/>
  <c r="N35" i="147" s="1"/>
  <c r="N36" i="134"/>
  <c r="O36" i="134" s="1"/>
  <c r="K36" i="132"/>
  <c r="L36" i="132" s="1"/>
  <c r="H36" i="128"/>
  <c r="I36" i="128" s="1"/>
  <c r="K36" i="125"/>
  <c r="L36" i="125" s="1"/>
  <c r="M36" i="125" s="1"/>
  <c r="N36" i="125" s="1"/>
  <c r="O36" i="125" s="1"/>
  <c r="L36" i="76"/>
  <c r="M36" i="76" s="1"/>
  <c r="N36" i="76" s="1"/>
  <c r="O36" i="76" s="1"/>
  <c r="O36" i="98"/>
  <c r="N36" i="71"/>
  <c r="O36" i="71" s="1"/>
  <c r="E41" i="150"/>
  <c r="D41" i="149"/>
  <c r="P36" i="148"/>
  <c r="P41" i="148" s="1"/>
  <c r="P37" i="148"/>
  <c r="C41" i="148"/>
  <c r="D41" i="147"/>
  <c r="P37" i="146"/>
  <c r="P36" i="146"/>
  <c r="P41" i="146" s="1"/>
  <c r="C41" i="146"/>
  <c r="L36" i="150" l="1"/>
  <c r="M36" i="150" s="1"/>
  <c r="P37" i="150"/>
  <c r="P39" i="150" s="1"/>
  <c r="P36" i="150"/>
  <c r="P41" i="150" s="1"/>
  <c r="P37" i="149"/>
  <c r="P39" i="149" s="1"/>
  <c r="P36" i="149"/>
  <c r="P41" i="149" s="1"/>
  <c r="M36" i="149"/>
  <c r="N36" i="149" s="1"/>
  <c r="O36" i="149" s="1"/>
  <c r="O32" i="147"/>
  <c r="O33" i="147" s="1"/>
  <c r="O35" i="147" s="1"/>
  <c r="K31" i="147"/>
  <c r="K32" i="147" s="1"/>
  <c r="K33" i="147" s="1"/>
  <c r="K35" i="147" s="1"/>
  <c r="K36" i="147" s="1"/>
  <c r="P32" i="147"/>
  <c r="P35" i="147" s="1"/>
  <c r="M36" i="132"/>
  <c r="N36" i="132" s="1"/>
  <c r="O36" i="132" s="1"/>
  <c r="J36" i="128"/>
  <c r="K36" i="128" s="1"/>
  <c r="L36" i="128"/>
  <c r="M36" i="128" s="1"/>
  <c r="D41" i="146"/>
  <c r="F41" i="150"/>
  <c r="P39" i="148"/>
  <c r="D41" i="148"/>
  <c r="E41" i="147"/>
  <c r="E41" i="146"/>
  <c r="P39" i="146"/>
  <c r="N36" i="150" l="1"/>
  <c r="O36" i="150" s="1"/>
  <c r="L36" i="147"/>
  <c r="M36" i="147" s="1"/>
  <c r="N36" i="147" s="1"/>
  <c r="O36" i="147" s="1"/>
  <c r="P37" i="147"/>
  <c r="P39" i="147" s="1"/>
  <c r="P36" i="147"/>
  <c r="P41" i="147" s="1"/>
  <c r="N36" i="128"/>
  <c r="O36" i="128" s="1"/>
  <c r="G41" i="150"/>
  <c r="E41" i="149"/>
  <c r="F41" i="149"/>
  <c r="E41" i="148"/>
  <c r="F41" i="147"/>
  <c r="H41" i="150" l="1"/>
  <c r="I41" i="150"/>
  <c r="X99" i="29"/>
  <c r="G41" i="149"/>
  <c r="F41" i="146"/>
  <c r="J41" i="150" l="1"/>
  <c r="K41" i="150"/>
  <c r="G41" i="147"/>
  <c r="F41" i="148"/>
  <c r="X100" i="29"/>
  <c r="Z98" i="29"/>
  <c r="X98" i="29"/>
  <c r="AD102" i="29"/>
  <c r="G41" i="146"/>
  <c r="L41" i="150" l="1"/>
  <c r="H41" i="149"/>
  <c r="G41" i="148"/>
  <c r="I41" i="146"/>
  <c r="H41" i="146"/>
  <c r="I41" i="149"/>
  <c r="AD101" i="29"/>
  <c r="H41" i="147"/>
  <c r="Z99" i="29"/>
  <c r="H41" i="148"/>
  <c r="J41" i="146" l="1"/>
  <c r="I41" i="147"/>
  <c r="AB99" i="29"/>
  <c r="M41" i="150"/>
  <c r="J41" i="149"/>
  <c r="I41" i="148"/>
  <c r="K41" i="146"/>
  <c r="J41" i="147" l="1"/>
  <c r="AD99" i="29"/>
  <c r="N41" i="150"/>
  <c r="O41" i="150"/>
  <c r="K41" i="149"/>
  <c r="J41" i="148"/>
  <c r="L41" i="146"/>
  <c r="L41" i="149" l="1"/>
  <c r="K41" i="148"/>
  <c r="L41" i="147"/>
  <c r="K41" i="147"/>
  <c r="M41" i="147"/>
  <c r="M41" i="146"/>
  <c r="M41" i="149" l="1"/>
  <c r="L41" i="148"/>
  <c r="N41" i="147"/>
  <c r="N41" i="146"/>
  <c r="N41" i="149" l="1"/>
  <c r="O41" i="149"/>
  <c r="M41" i="148"/>
  <c r="O41" i="147"/>
  <c r="O41" i="146"/>
  <c r="N41" i="148" l="1"/>
  <c r="O41" i="148" l="1"/>
  <c r="Q13" i="90" l="1"/>
  <c r="E61" i="32"/>
  <c r="G58" i="32"/>
  <c r="H58" i="32" s="1"/>
  <c r="G57" i="32"/>
  <c r="H57" i="32" s="1"/>
  <c r="G56" i="32"/>
  <c r="H56" i="32" s="1"/>
  <c r="G55" i="32"/>
  <c r="H55" i="32" s="1"/>
  <c r="G54" i="32"/>
  <c r="H54" i="32" s="1"/>
  <c r="G53" i="32"/>
  <c r="H53" i="32" s="1"/>
  <c r="G52" i="32"/>
  <c r="H52" i="32" s="1"/>
  <c r="G51" i="32"/>
  <c r="H51" i="32" s="1"/>
  <c r="G50" i="32"/>
  <c r="H50" i="32" s="1"/>
  <c r="G49" i="32"/>
  <c r="H49" i="32" s="1"/>
  <c r="H61" i="32" l="1"/>
  <c r="G61" i="32"/>
  <c r="F19" i="90" l="1"/>
  <c r="Q13" i="117"/>
  <c r="Q13" i="84"/>
  <c r="Q13" i="57"/>
  <c r="Q13" i="69"/>
  <c r="Q13" i="76"/>
  <c r="Q13" i="98"/>
  <c r="Q13" i="62"/>
  <c r="Q13" i="130"/>
  <c r="Q13" i="68"/>
  <c r="Q13" i="65"/>
  <c r="Q13" i="52"/>
  <c r="Q13" i="50"/>
  <c r="Q13" i="127"/>
  <c r="Q13" i="79"/>
  <c r="Q13" i="70"/>
  <c r="Q13" i="124"/>
  <c r="Q13" i="51"/>
  <c r="Q13" i="58"/>
  <c r="Q13" i="72"/>
  <c r="Q13" i="47"/>
  <c r="Q13" i="138"/>
  <c r="Q13" i="129"/>
  <c r="Q13" i="71"/>
  <c r="Q13" i="142"/>
  <c r="Q13" i="53"/>
  <c r="Q13" i="64"/>
  <c r="Q13" i="49"/>
  <c r="Q13" i="96"/>
  <c r="Q13" i="106"/>
  <c r="Q13" i="3" l="1"/>
  <c r="Q13" i="55" l="1"/>
  <c r="Q13" i="128" l="1"/>
  <c r="Q13" i="56"/>
  <c r="Q13" i="61"/>
  <c r="Q13" i="81"/>
  <c r="Q13" i="66"/>
  <c r="Q13" i="67"/>
  <c r="Q13" i="48"/>
  <c r="Q13" i="95"/>
  <c r="Q13" i="144"/>
  <c r="Q13" i="60"/>
  <c r="Q13" i="83"/>
  <c r="Q13" i="73"/>
  <c r="Q13" i="141"/>
  <c r="Q13" i="87" l="1"/>
  <c r="Q13" i="86"/>
  <c r="P13" i="86" s="1"/>
  <c r="P19" i="86" s="1"/>
  <c r="P21" i="86" s="1"/>
  <c r="Q13" i="85"/>
  <c r="Q19" i="86" l="1"/>
  <c r="Q21" i="86" s="1"/>
  <c r="Q23" i="86" s="1"/>
  <c r="Q26" i="86" s="1"/>
  <c r="Q28" i="86" s="1"/>
  <c r="Q30" i="86" s="1"/>
  <c r="Q32" i="86" s="1"/>
  <c r="Q35" i="86" s="1"/>
  <c r="Q36" i="86" s="1"/>
  <c r="Q41" i="86" s="1"/>
  <c r="P23" i="86"/>
  <c r="P26" i="86" s="1"/>
  <c r="P28" i="86" s="1"/>
  <c r="P30" i="86" s="1"/>
  <c r="F19" i="87"/>
  <c r="F19" i="57" l="1"/>
  <c r="F19" i="69"/>
  <c r="F19" i="76"/>
  <c r="F19" i="98"/>
  <c r="F19" i="62"/>
  <c r="F19" i="130"/>
  <c r="F19" i="68"/>
  <c r="F19" i="65"/>
  <c r="F19" i="52"/>
  <c r="F19" i="50"/>
  <c r="F19" i="127"/>
  <c r="F19" i="79"/>
  <c r="F19" i="70"/>
  <c r="F19" i="124"/>
  <c r="F19" i="51"/>
  <c r="F19" i="58"/>
  <c r="F19" i="72"/>
  <c r="F19" i="47"/>
  <c r="F19" i="138"/>
  <c r="F19" i="129"/>
  <c r="F19" i="71"/>
  <c r="F19" i="53"/>
  <c r="F19" i="64"/>
  <c r="F19" i="49"/>
  <c r="F19" i="96"/>
  <c r="F21" i="96" s="1"/>
  <c r="F19" i="106"/>
  <c r="F19" i="3"/>
  <c r="F21" i="3" s="1"/>
  <c r="F23" i="3" s="1"/>
  <c r="F19" i="55"/>
  <c r="F21" i="55" s="1"/>
  <c r="F19" i="128"/>
  <c r="F19" i="56"/>
  <c r="F21" i="56" s="1"/>
  <c r="F19" i="61"/>
  <c r="F21" i="61" s="1"/>
  <c r="F19" i="81"/>
  <c r="F21" i="81" s="1"/>
  <c r="F23" i="81" s="1"/>
  <c r="F26" i="81" s="1"/>
  <c r="F28" i="81" s="1"/>
  <c r="F19" i="66"/>
  <c r="F21" i="66" s="1"/>
  <c r="F23" i="66" s="1"/>
  <c r="F26" i="66" s="1"/>
  <c r="F28" i="66" s="1"/>
  <c r="F19" i="67"/>
  <c r="F21" i="67" s="1"/>
  <c r="F19" i="48"/>
  <c r="F21" i="48" s="1"/>
  <c r="F19" i="95"/>
  <c r="F21" i="95" s="1"/>
  <c r="F19" i="60"/>
  <c r="F21" i="60" s="1"/>
  <c r="F19" i="83"/>
  <c r="F21" i="83" s="1"/>
  <c r="F19" i="117"/>
  <c r="F21" i="117" s="1"/>
  <c r="F19" i="86"/>
  <c r="F21" i="86" s="1"/>
  <c r="F23" i="86" s="1"/>
  <c r="F26" i="86" s="1"/>
  <c r="F28" i="86" s="1"/>
  <c r="F19" i="84"/>
  <c r="F21" i="84" s="1"/>
  <c r="F19" i="85"/>
  <c r="F21" i="85" s="1"/>
  <c r="F23" i="85" s="1"/>
  <c r="F26" i="85" s="1"/>
  <c r="F28" i="85" s="1"/>
  <c r="F23" i="48" l="1"/>
  <c r="F26" i="48" s="1"/>
  <c r="F28" i="48" s="1"/>
  <c r="F26" i="3"/>
  <c r="F28" i="3" s="1"/>
  <c r="F23" i="83"/>
  <c r="F26" i="83" s="1"/>
  <c r="F28" i="83" s="1"/>
  <c r="F23" i="67"/>
  <c r="F26" i="67" s="1"/>
  <c r="F28" i="67"/>
  <c r="F23" i="56"/>
  <c r="F26" i="56" s="1"/>
  <c r="F28" i="56" s="1"/>
  <c r="F23" i="117"/>
  <c r="F26" i="117" s="1"/>
  <c r="F28" i="117"/>
  <c r="F23" i="61"/>
  <c r="F26" i="61" s="1"/>
  <c r="F28" i="61" s="1"/>
  <c r="F23" i="84"/>
  <c r="F26" i="84" s="1"/>
  <c r="F28" i="84" s="1"/>
  <c r="F23" i="60"/>
  <c r="F26" i="60" s="1"/>
  <c r="F28" i="60" s="1"/>
  <c r="F23" i="96"/>
  <c r="F26" i="96" s="1"/>
  <c r="F28" i="96"/>
  <c r="F23" i="95"/>
  <c r="F26" i="95" s="1"/>
  <c r="F28" i="95"/>
  <c r="F23" i="55"/>
  <c r="F26" i="55" s="1"/>
  <c r="F28" i="55"/>
  <c r="E19" i="70"/>
  <c r="E19" i="57"/>
  <c r="E19" i="69"/>
  <c r="E19" i="76"/>
  <c r="E19" i="98"/>
  <c r="E19" i="62"/>
  <c r="E19" i="130"/>
  <c r="E19" i="68"/>
  <c r="E19" i="65"/>
  <c r="E19" i="52"/>
  <c r="E19" i="50"/>
  <c r="D19" i="117"/>
  <c r="D21" i="117" s="1"/>
  <c r="E19" i="117"/>
  <c r="E21" i="117" s="1"/>
  <c r="E19" i="127"/>
  <c r="E19" i="79"/>
  <c r="E19" i="124"/>
  <c r="E19" i="134"/>
  <c r="E19" i="51"/>
  <c r="E19" i="87"/>
  <c r="E19" i="90"/>
  <c r="E19" i="105"/>
  <c r="E19" i="58"/>
  <c r="E19" i="72"/>
  <c r="E19" i="47"/>
  <c r="E19" i="138"/>
  <c r="E19" i="129"/>
  <c r="E19" i="71"/>
  <c r="E19" i="53"/>
  <c r="E19" i="64"/>
  <c r="E19" i="49"/>
  <c r="E19" i="96"/>
  <c r="E21" i="96" s="1"/>
  <c r="E19" i="106"/>
  <c r="E19" i="3"/>
  <c r="E21" i="3" s="1"/>
  <c r="E23" i="3" s="1"/>
  <c r="E26" i="3" s="1"/>
  <c r="E28" i="3" s="1"/>
  <c r="E19" i="132"/>
  <c r="E19" i="55"/>
  <c r="E21" i="55" s="1"/>
  <c r="E19" i="128"/>
  <c r="E19" i="56"/>
  <c r="E21" i="56" s="1"/>
  <c r="E23" i="56" s="1"/>
  <c r="E26" i="56" s="1"/>
  <c r="E28" i="56" s="1"/>
  <c r="D19" i="135"/>
  <c r="E19" i="135"/>
  <c r="E19" i="61"/>
  <c r="E21" i="61" s="1"/>
  <c r="E23" i="61" s="1"/>
  <c r="E26" i="61" s="1"/>
  <c r="E28" i="61" s="1"/>
  <c r="E19" i="81"/>
  <c r="E21" i="81" s="1"/>
  <c r="E19" i="66"/>
  <c r="E21" i="66" s="1"/>
  <c r="E19" i="67"/>
  <c r="E21" i="67" s="1"/>
  <c r="D66" i="145"/>
  <c r="P31" i="145"/>
  <c r="Q31" i="145" s="1"/>
  <c r="N19" i="145"/>
  <c r="M19" i="145"/>
  <c r="L19" i="145"/>
  <c r="K19" i="145"/>
  <c r="J19" i="145"/>
  <c r="I19" i="145"/>
  <c r="H19" i="145"/>
  <c r="Y97" i="29" s="1"/>
  <c r="G19" i="145"/>
  <c r="W97" i="29" s="1"/>
  <c r="F19" i="145"/>
  <c r="E19" i="145"/>
  <c r="Q97" i="29" s="1"/>
  <c r="D19" i="145"/>
  <c r="C19" i="145"/>
  <c r="Q18" i="145"/>
  <c r="P18" i="145" s="1"/>
  <c r="Q17" i="145"/>
  <c r="P17" i="145" s="1"/>
  <c r="O17" i="145"/>
  <c r="Q16" i="145"/>
  <c r="P16" i="145" s="1"/>
  <c r="Q15" i="145"/>
  <c r="P15" i="145" s="1"/>
  <c r="O15" i="145"/>
  <c r="Q14" i="145"/>
  <c r="P14" i="145" s="1"/>
  <c r="Q13" i="145"/>
  <c r="P13" i="145" s="1"/>
  <c r="O13" i="145"/>
  <c r="E19" i="102"/>
  <c r="E21" i="102" s="1"/>
  <c r="E23" i="102" s="1"/>
  <c r="E26" i="102" s="1"/>
  <c r="E28" i="102" s="1"/>
  <c r="E19" i="48"/>
  <c r="E21" i="48" s="1"/>
  <c r="E19" i="95"/>
  <c r="E21" i="95" s="1"/>
  <c r="D66" i="144"/>
  <c r="N19" i="144"/>
  <c r="N21" i="144" s="1"/>
  <c r="M19" i="144"/>
  <c r="M21" i="144" s="1"/>
  <c r="L19" i="144"/>
  <c r="L21" i="144" s="1"/>
  <c r="K19" i="144"/>
  <c r="K21" i="144" s="1"/>
  <c r="J19" i="144"/>
  <c r="I19" i="144"/>
  <c r="AA96" i="29" s="1"/>
  <c r="H19" i="144"/>
  <c r="Y96" i="29" s="1"/>
  <c r="G19" i="144"/>
  <c r="W96" i="29" s="1"/>
  <c r="F19" i="144"/>
  <c r="E19" i="144"/>
  <c r="Q96" i="29" s="1"/>
  <c r="D19" i="144"/>
  <c r="C19" i="144"/>
  <c r="Q18" i="144"/>
  <c r="P18" i="144" s="1"/>
  <c r="Q17" i="144"/>
  <c r="P17" i="144" s="1"/>
  <c r="O17" i="144"/>
  <c r="Q16" i="144"/>
  <c r="P16" i="144" s="1"/>
  <c r="Q15" i="144"/>
  <c r="P15" i="144" s="1"/>
  <c r="O15" i="144"/>
  <c r="Q14" i="144"/>
  <c r="P14" i="144" s="1"/>
  <c r="P13" i="144"/>
  <c r="O13" i="144"/>
  <c r="E19" i="60"/>
  <c r="E21" i="60" s="1"/>
  <c r="E19" i="83"/>
  <c r="E21" i="83" s="1"/>
  <c r="E19" i="85"/>
  <c r="E21" i="85" s="1"/>
  <c r="E19" i="84"/>
  <c r="E21" i="84" s="1"/>
  <c r="E19" i="86"/>
  <c r="E21" i="86" s="1"/>
  <c r="E23" i="86" s="1"/>
  <c r="E26" i="86" s="1"/>
  <c r="E28" i="86" s="1"/>
  <c r="N23" i="144" l="1"/>
  <c r="N26" i="144" s="1"/>
  <c r="N28" i="144" s="1"/>
  <c r="M23" i="144"/>
  <c r="M26" i="144" s="1"/>
  <c r="M28" i="144" s="1"/>
  <c r="L23" i="144"/>
  <c r="L26" i="144" s="1"/>
  <c r="L28" i="144" s="1"/>
  <c r="K23" i="144"/>
  <c r="D23" i="117"/>
  <c r="D26" i="117" s="1"/>
  <c r="D28" i="117" s="1"/>
  <c r="E23" i="60"/>
  <c r="E26" i="60" s="1"/>
  <c r="E28" i="60" s="1"/>
  <c r="E23" i="67"/>
  <c r="E26" i="67" s="1"/>
  <c r="E28" i="67" s="1"/>
  <c r="E23" i="55"/>
  <c r="E26" i="55" s="1"/>
  <c r="E28" i="55" s="1"/>
  <c r="E23" i="96"/>
  <c r="E26" i="96" s="1"/>
  <c r="E28" i="96" s="1"/>
  <c r="E23" i="83"/>
  <c r="E26" i="83" s="1"/>
  <c r="E28" i="83"/>
  <c r="E23" i="84"/>
  <c r="E26" i="84" s="1"/>
  <c r="E28" i="84" s="1"/>
  <c r="E23" i="95"/>
  <c r="E26" i="95" s="1"/>
  <c r="E28" i="95"/>
  <c r="E23" i="66"/>
  <c r="E26" i="66" s="1"/>
  <c r="E28" i="66"/>
  <c r="E23" i="85"/>
  <c r="E26" i="85" s="1"/>
  <c r="E28" i="85"/>
  <c r="E23" i="48"/>
  <c r="E26" i="48" s="1"/>
  <c r="E28" i="48" s="1"/>
  <c r="E23" i="81"/>
  <c r="E26" i="81" s="1"/>
  <c r="E28" i="81"/>
  <c r="E23" i="117"/>
  <c r="E26" i="117" s="1"/>
  <c r="E28" i="117"/>
  <c r="S96" i="29"/>
  <c r="S97" i="29"/>
  <c r="AC96" i="29"/>
  <c r="P19" i="145"/>
  <c r="P21" i="145" s="1"/>
  <c r="O19" i="145"/>
  <c r="Q19" i="145"/>
  <c r="Q21" i="145" s="1"/>
  <c r="P19" i="144"/>
  <c r="P21" i="144" s="1"/>
  <c r="O19" i="144"/>
  <c r="O21" i="144" s="1"/>
  <c r="Q19" i="144"/>
  <c r="Q21" i="144" s="1"/>
  <c r="K26" i="144" l="1"/>
  <c r="K28" i="144" s="1"/>
  <c r="O26" i="144"/>
  <c r="O28" i="144" s="1"/>
  <c r="O30" i="144" s="1"/>
  <c r="O31" i="144" s="1"/>
  <c r="Q23" i="145"/>
  <c r="Q26" i="145" s="1"/>
  <c r="Q28" i="145" s="1"/>
  <c r="Q30" i="145" s="1"/>
  <c r="Q32" i="145" s="1"/>
  <c r="Q33" i="145" s="1"/>
  <c r="Q35" i="145" s="1"/>
  <c r="Q36" i="145" s="1"/>
  <c r="Q41" i="145" s="1"/>
  <c r="P23" i="145"/>
  <c r="P26" i="145" s="1"/>
  <c r="P28" i="145" s="1"/>
  <c r="P30" i="145" s="1"/>
  <c r="P32" i="145" s="1"/>
  <c r="P33" i="145" s="1"/>
  <c r="P35" i="145" s="1"/>
  <c r="Q23" i="144"/>
  <c r="Q26" i="144" s="1"/>
  <c r="Q28" i="144" s="1"/>
  <c r="Q30" i="144" s="1"/>
  <c r="P23" i="144"/>
  <c r="P26" i="144" s="1"/>
  <c r="P28" i="144" s="1"/>
  <c r="P30" i="144" s="1"/>
  <c r="O32" i="144" l="1"/>
  <c r="O33" i="144" s="1"/>
  <c r="O35" i="144" s="1"/>
  <c r="P31" i="144"/>
  <c r="Q31" i="144" s="1"/>
  <c r="Q32" i="144" s="1"/>
  <c r="Q35" i="144" s="1"/>
  <c r="Q36" i="144" s="1"/>
  <c r="Q41" i="144" s="1"/>
  <c r="N30" i="144"/>
  <c r="N31" i="144" s="1"/>
  <c r="N32" i="144" s="1"/>
  <c r="N33" i="144" s="1"/>
  <c r="N35" i="144" s="1"/>
  <c r="K30" i="144"/>
  <c r="L30" i="144"/>
  <c r="L31" i="144" s="1"/>
  <c r="L32" i="144" s="1"/>
  <c r="L33" i="144" s="1"/>
  <c r="L35" i="144" s="1"/>
  <c r="M30" i="144"/>
  <c r="M31" i="144" s="1"/>
  <c r="M32" i="144" s="1"/>
  <c r="M33" i="144" s="1"/>
  <c r="M35" i="144" s="1"/>
  <c r="P36" i="145"/>
  <c r="P41" i="145" s="1"/>
  <c r="P37" i="145"/>
  <c r="V97" i="29" s="1"/>
  <c r="C41" i="145"/>
  <c r="C41" i="144"/>
  <c r="P32" i="144" l="1"/>
  <c r="P35" i="144" s="1"/>
  <c r="K31" i="144"/>
  <c r="K32" i="144"/>
  <c r="K33" i="144" s="1"/>
  <c r="K35" i="144" s="1"/>
  <c r="K36" i="144" s="1"/>
  <c r="L36" i="144" s="1"/>
  <c r="M36" i="144" s="1"/>
  <c r="N36" i="144" s="1"/>
  <c r="O36" i="144" s="1"/>
  <c r="D41" i="144"/>
  <c r="D41" i="145"/>
  <c r="P39" i="145"/>
  <c r="H41" i="32"/>
  <c r="H42" i="32"/>
  <c r="H39" i="32"/>
  <c r="H40" i="32"/>
  <c r="G33" i="32"/>
  <c r="H33" i="32" s="1"/>
  <c r="E45" i="32"/>
  <c r="H38" i="32"/>
  <c r="G37" i="32"/>
  <c r="H37" i="32" s="1"/>
  <c r="G36" i="32"/>
  <c r="H36" i="32" s="1"/>
  <c r="G35" i="32"/>
  <c r="H35" i="32" s="1"/>
  <c r="G34" i="32"/>
  <c r="H34" i="32" s="1"/>
  <c r="G32" i="32"/>
  <c r="H32" i="32" s="1"/>
  <c r="G31" i="32"/>
  <c r="H31" i="32" s="1"/>
  <c r="E27" i="32"/>
  <c r="H24" i="32"/>
  <c r="G23" i="32"/>
  <c r="H23" i="32" s="1"/>
  <c r="G22" i="32"/>
  <c r="H22" i="32" s="1"/>
  <c r="G21" i="32"/>
  <c r="H21" i="32" s="1"/>
  <c r="G20" i="32"/>
  <c r="H20" i="32" s="1"/>
  <c r="G19" i="32"/>
  <c r="H19" i="32" s="1"/>
  <c r="G18" i="32"/>
  <c r="H18" i="32" s="1"/>
  <c r="G17" i="32"/>
  <c r="H17" i="32" s="1"/>
  <c r="D19" i="90"/>
  <c r="D19" i="105"/>
  <c r="D19" i="132"/>
  <c r="D19" i="134"/>
  <c r="D19" i="85"/>
  <c r="D21" i="85" s="1"/>
  <c r="D19" i="84"/>
  <c r="D21" i="84" s="1"/>
  <c r="D19" i="86"/>
  <c r="D21" i="86" s="1"/>
  <c r="D23" i="86" s="1"/>
  <c r="D26" i="86" s="1"/>
  <c r="D28" i="86" s="1"/>
  <c r="D19" i="71"/>
  <c r="D19" i="87"/>
  <c r="D19" i="57"/>
  <c r="D19" i="69"/>
  <c r="D19" i="76"/>
  <c r="D19" i="98"/>
  <c r="D19" i="62"/>
  <c r="D19" i="130"/>
  <c r="D19" i="68"/>
  <c r="D19" i="65"/>
  <c r="D19" i="52"/>
  <c r="D19" i="50"/>
  <c r="D19" i="127"/>
  <c r="D19" i="125"/>
  <c r="D19" i="79"/>
  <c r="D19" i="70"/>
  <c r="D19" i="124"/>
  <c r="D19" i="51"/>
  <c r="D19" i="58"/>
  <c r="D19" i="72"/>
  <c r="D19" i="47"/>
  <c r="D19" i="138"/>
  <c r="D19" i="129"/>
  <c r="P36" i="144" l="1"/>
  <c r="P41" i="144" s="1"/>
  <c r="P37" i="144"/>
  <c r="D23" i="85"/>
  <c r="D26" i="85" s="1"/>
  <c r="D28" i="85" s="1"/>
  <c r="E41" i="145"/>
  <c r="D23" i="84"/>
  <c r="D26" i="84" s="1"/>
  <c r="D28" i="84"/>
  <c r="E41" i="144"/>
  <c r="R96" i="29"/>
  <c r="T96" i="29"/>
  <c r="H45" i="32"/>
  <c r="G45" i="32"/>
  <c r="H27" i="32"/>
  <c r="G27" i="32"/>
  <c r="D66" i="142"/>
  <c r="N19" i="142"/>
  <c r="N21" i="142" s="1"/>
  <c r="M19" i="142"/>
  <c r="M21" i="142" s="1"/>
  <c r="L19" i="142"/>
  <c r="L21" i="142" s="1"/>
  <c r="K19" i="142"/>
  <c r="K21" i="142" s="1"/>
  <c r="K23" i="142" s="1"/>
  <c r="J19" i="142"/>
  <c r="I19" i="142"/>
  <c r="AA95" i="29" s="1"/>
  <c r="H19" i="142"/>
  <c r="Y95" i="29" s="1"/>
  <c r="G19" i="142"/>
  <c r="W95" i="29" s="1"/>
  <c r="F19" i="142"/>
  <c r="E19" i="142"/>
  <c r="Q95" i="29" s="1"/>
  <c r="D19" i="142"/>
  <c r="O95" i="29" s="1"/>
  <c r="C19" i="142"/>
  <c r="Q18" i="142"/>
  <c r="P18" i="142" s="1"/>
  <c r="Q17" i="142"/>
  <c r="P17" i="142" s="1"/>
  <c r="O17" i="142"/>
  <c r="Q16" i="142"/>
  <c r="P16" i="142" s="1"/>
  <c r="Q15" i="142"/>
  <c r="P15" i="142" s="1"/>
  <c r="O15" i="142"/>
  <c r="Q14" i="142"/>
  <c r="P14" i="142" s="1"/>
  <c r="O13" i="142"/>
  <c r="D19" i="53"/>
  <c r="D19" i="64"/>
  <c r="D19" i="49"/>
  <c r="D19" i="96"/>
  <c r="D21" i="96" s="1"/>
  <c r="D19" i="106"/>
  <c r="D19" i="3"/>
  <c r="D19" i="55"/>
  <c r="D21" i="55" s="1"/>
  <c r="D19" i="128"/>
  <c r="D19" i="56"/>
  <c r="D21" i="56" s="1"/>
  <c r="D19" i="61"/>
  <c r="D21" i="61" s="1"/>
  <c r="D19" i="81"/>
  <c r="D21" i="81" s="1"/>
  <c r="D19" i="66"/>
  <c r="D21" i="66" s="1"/>
  <c r="D19" i="67"/>
  <c r="D21" i="67" s="1"/>
  <c r="D19" i="102"/>
  <c r="D21" i="102" s="1"/>
  <c r="D19" i="48"/>
  <c r="D21" i="48" s="1"/>
  <c r="D19" i="95"/>
  <c r="D21" i="95" s="1"/>
  <c r="D19" i="54"/>
  <c r="D21" i="54" s="1"/>
  <c r="D19" i="60"/>
  <c r="D21" i="60" s="1"/>
  <c r="D19" i="83"/>
  <c r="D21" i="83" s="1"/>
  <c r="D19" i="73"/>
  <c r="D21" i="73" s="1"/>
  <c r="E19" i="73"/>
  <c r="E21" i="73" s="1"/>
  <c r="F19" i="73"/>
  <c r="F21" i="73" s="1"/>
  <c r="G19" i="73"/>
  <c r="G21" i="73" s="1"/>
  <c r="G23" i="73" s="1"/>
  <c r="G26" i="73" s="1"/>
  <c r="G28" i="73" s="1"/>
  <c r="H19" i="73"/>
  <c r="H21" i="73" s="1"/>
  <c r="I19" i="73"/>
  <c r="I21" i="73" s="1"/>
  <c r="J19" i="73"/>
  <c r="J21" i="73" s="1"/>
  <c r="J23" i="73" s="1"/>
  <c r="J26" i="73" s="1"/>
  <c r="J28" i="73" s="1"/>
  <c r="K19" i="73"/>
  <c r="K21" i="73" s="1"/>
  <c r="L19" i="73"/>
  <c r="L21" i="73" s="1"/>
  <c r="M19" i="73"/>
  <c r="M21" i="73" s="1"/>
  <c r="N19" i="73"/>
  <c r="N21" i="73" s="1"/>
  <c r="N23" i="73" s="1"/>
  <c r="N26" i="73" s="1"/>
  <c r="N28" i="73" s="1"/>
  <c r="E19" i="141"/>
  <c r="F19" i="141"/>
  <c r="G19" i="141"/>
  <c r="H19" i="141"/>
  <c r="I19" i="141"/>
  <c r="J19" i="141"/>
  <c r="K19" i="141"/>
  <c r="K21" i="141" s="1"/>
  <c r="L19" i="141"/>
  <c r="L21" i="141" s="1"/>
  <c r="M19" i="141"/>
  <c r="M21" i="141" s="1"/>
  <c r="N19" i="141"/>
  <c r="N21" i="141" s="1"/>
  <c r="D66" i="141"/>
  <c r="D19" i="141"/>
  <c r="C19" i="141"/>
  <c r="Q18" i="141"/>
  <c r="P18" i="141" s="1"/>
  <c r="Q17" i="141"/>
  <c r="P17" i="141" s="1"/>
  <c r="O17" i="141"/>
  <c r="Q16" i="141"/>
  <c r="P16" i="141" s="1"/>
  <c r="Q15" i="141"/>
  <c r="P15" i="141" s="1"/>
  <c r="O15" i="141"/>
  <c r="Q14" i="141"/>
  <c r="P14" i="141" s="1"/>
  <c r="P13" i="141"/>
  <c r="O13" i="141"/>
  <c r="V96" i="29" l="1"/>
  <c r="P39" i="144"/>
  <c r="N23" i="142"/>
  <c r="N26" i="142" s="1"/>
  <c r="N28" i="142"/>
  <c r="M23" i="142"/>
  <c r="M26" i="142" s="1"/>
  <c r="M28" i="142" s="1"/>
  <c r="L23" i="142"/>
  <c r="L26" i="142" s="1"/>
  <c r="L28" i="142" s="1"/>
  <c r="K26" i="142"/>
  <c r="K28" i="142" s="1"/>
  <c r="N23" i="141"/>
  <c r="N26" i="141" s="1"/>
  <c r="N28" i="141" s="1"/>
  <c r="M23" i="141"/>
  <c r="M26" i="141" s="1"/>
  <c r="M28" i="141"/>
  <c r="L23" i="141"/>
  <c r="L26" i="141" s="1"/>
  <c r="L28" i="141" s="1"/>
  <c r="K23" i="141"/>
  <c r="R97" i="29"/>
  <c r="D23" i="102"/>
  <c r="D26" i="102" s="1"/>
  <c r="D28" i="102" s="1"/>
  <c r="E23" i="73"/>
  <c r="E26" i="73" s="1"/>
  <c r="E28" i="73" s="1"/>
  <c r="D23" i="56"/>
  <c r="D26" i="56" s="1"/>
  <c r="D28" i="56" s="1"/>
  <c r="F23" i="73"/>
  <c r="F26" i="73" s="1"/>
  <c r="F28" i="73" s="1"/>
  <c r="D23" i="61"/>
  <c r="D26" i="61" s="1"/>
  <c r="D28" i="61" s="1"/>
  <c r="I23" i="73"/>
  <c r="I26" i="73" s="1"/>
  <c r="I28" i="73" s="1"/>
  <c r="D23" i="67"/>
  <c r="D26" i="67" s="1"/>
  <c r="D28" i="67"/>
  <c r="L23" i="73"/>
  <c r="L26" i="73" s="1"/>
  <c r="L28" i="73"/>
  <c r="H23" i="73"/>
  <c r="H26" i="73" s="1"/>
  <c r="H28" i="73"/>
  <c r="D23" i="73"/>
  <c r="D26" i="73" s="1"/>
  <c r="D28" i="73"/>
  <c r="D23" i="95"/>
  <c r="D26" i="95" s="1"/>
  <c r="D28" i="95" s="1"/>
  <c r="D23" i="66"/>
  <c r="D26" i="66" s="1"/>
  <c r="D28" i="66"/>
  <c r="D23" i="96"/>
  <c r="D26" i="96" s="1"/>
  <c r="D28" i="96" s="1"/>
  <c r="D23" i="60"/>
  <c r="D26" i="60" s="1"/>
  <c r="D28" i="60"/>
  <c r="M23" i="73"/>
  <c r="M26" i="73" s="1"/>
  <c r="M28" i="73" s="1"/>
  <c r="D23" i="54"/>
  <c r="D26" i="54" s="1"/>
  <c r="D28" i="54"/>
  <c r="K23" i="73"/>
  <c r="K26" i="73" s="1"/>
  <c r="K28" i="73" s="1"/>
  <c r="D23" i="83"/>
  <c r="D26" i="83" s="1"/>
  <c r="D28" i="83"/>
  <c r="D23" i="48"/>
  <c r="D26" i="48" s="1"/>
  <c r="D28" i="48" s="1"/>
  <c r="D23" i="81"/>
  <c r="D26" i="81" s="1"/>
  <c r="D28" i="81"/>
  <c r="D23" i="55"/>
  <c r="D26" i="55" s="1"/>
  <c r="D28" i="55" s="1"/>
  <c r="D23" i="3"/>
  <c r="D26" i="3" s="1"/>
  <c r="D28" i="3"/>
  <c r="Y94" i="29"/>
  <c r="W94" i="29"/>
  <c r="S95" i="29"/>
  <c r="S94" i="29"/>
  <c r="AA94" i="29"/>
  <c r="X96" i="29"/>
  <c r="AC94" i="29"/>
  <c r="AC95" i="29"/>
  <c r="Q94" i="29"/>
  <c r="F41" i="145"/>
  <c r="F41" i="144"/>
  <c r="P19" i="141"/>
  <c r="P21" i="141" s="1"/>
  <c r="P23" i="141" s="1"/>
  <c r="P26" i="141" s="1"/>
  <c r="P28" i="141" s="1"/>
  <c r="P30" i="141" s="1"/>
  <c r="O19" i="142"/>
  <c r="O21" i="142" s="1"/>
  <c r="Q19" i="142"/>
  <c r="Q21" i="142" s="1"/>
  <c r="Q23" i="142" s="1"/>
  <c r="Q26" i="142" s="1"/>
  <c r="Q28" i="142" s="1"/>
  <c r="Q30" i="142" s="1"/>
  <c r="O94" i="29"/>
  <c r="P13" i="142"/>
  <c r="P19" i="142" s="1"/>
  <c r="P21" i="142" s="1"/>
  <c r="O19" i="141"/>
  <c r="O21" i="141" s="1"/>
  <c r="Q19" i="141"/>
  <c r="Q21" i="141" s="1"/>
  <c r="G4" i="32"/>
  <c r="H4" i="32" s="1"/>
  <c r="G5" i="32"/>
  <c r="H5" i="32" s="1"/>
  <c r="G6" i="32"/>
  <c r="H6" i="32" s="1"/>
  <c r="O26" i="142" l="1"/>
  <c r="O28" i="142" s="1"/>
  <c r="O30" i="142" s="1"/>
  <c r="O31" i="142" s="1"/>
  <c r="P31" i="142" s="1"/>
  <c r="Q31" i="142" s="1"/>
  <c r="Q32" i="142" s="1"/>
  <c r="Q35" i="142" s="1"/>
  <c r="Q36" i="142" s="1"/>
  <c r="Q41" i="142" s="1"/>
  <c r="N30" i="142"/>
  <c r="K30" i="142"/>
  <c r="L30" i="142"/>
  <c r="L31" i="142" s="1"/>
  <c r="L32" i="142" s="1"/>
  <c r="L33" i="142" s="1"/>
  <c r="L35" i="142" s="1"/>
  <c r="M30" i="142"/>
  <c r="M31" i="142" s="1"/>
  <c r="M32" i="142" s="1"/>
  <c r="M33" i="142" s="1"/>
  <c r="M35" i="142" s="1"/>
  <c r="K26" i="141"/>
  <c r="K28" i="141" s="1"/>
  <c r="O26" i="141"/>
  <c r="O28" i="141" s="1"/>
  <c r="O30" i="141" s="1"/>
  <c r="O31" i="141" s="1"/>
  <c r="T97" i="29"/>
  <c r="I41" i="145"/>
  <c r="AB97" i="29"/>
  <c r="G41" i="144"/>
  <c r="H41" i="145"/>
  <c r="Z97" i="29"/>
  <c r="G41" i="145"/>
  <c r="X97" i="29"/>
  <c r="K41" i="145"/>
  <c r="P23" i="142"/>
  <c r="P26" i="142" s="1"/>
  <c r="P28" i="142" s="1"/>
  <c r="P30" i="142" s="1"/>
  <c r="Q23" i="141"/>
  <c r="Q26" i="141" s="1"/>
  <c r="Q28" i="141" s="1"/>
  <c r="Q30" i="141" s="1"/>
  <c r="U15" i="29"/>
  <c r="U16" i="29"/>
  <c r="O32" i="142" l="1"/>
  <c r="O33" i="142" s="1"/>
  <c r="O35" i="142" s="1"/>
  <c r="P32" i="142"/>
  <c r="P35" i="142" s="1"/>
  <c r="P37" i="142" s="1"/>
  <c r="V95" i="29" s="1"/>
  <c r="N31" i="142"/>
  <c r="N32" i="142" s="1"/>
  <c r="N33" i="142" s="1"/>
  <c r="N35" i="142" s="1"/>
  <c r="K31" i="142"/>
  <c r="K32" i="142" s="1"/>
  <c r="K33" i="142" s="1"/>
  <c r="K35" i="142" s="1"/>
  <c r="K36" i="142" s="1"/>
  <c r="O32" i="141"/>
  <c r="O33" i="141" s="1"/>
  <c r="O35" i="141" s="1"/>
  <c r="P31" i="141"/>
  <c r="M30" i="141"/>
  <c r="M31" i="141" s="1"/>
  <c r="M32" i="141" s="1"/>
  <c r="M33" i="141" s="1"/>
  <c r="M35" i="141" s="1"/>
  <c r="L30" i="141"/>
  <c r="K30" i="141"/>
  <c r="N30" i="141"/>
  <c r="N31" i="141" s="1"/>
  <c r="N32" i="141" s="1"/>
  <c r="N33" i="141" s="1"/>
  <c r="N35" i="141" s="1"/>
  <c r="H41" i="144"/>
  <c r="Z96" i="29"/>
  <c r="J41" i="145"/>
  <c r="AD97" i="29"/>
  <c r="L41" i="145"/>
  <c r="C41" i="142"/>
  <c r="C41" i="141"/>
  <c r="P31" i="140"/>
  <c r="Q31" i="140" s="1"/>
  <c r="C19" i="140"/>
  <c r="M93" i="29" s="1"/>
  <c r="Q18" i="140"/>
  <c r="P18" i="140" s="1"/>
  <c r="P17" i="140"/>
  <c r="O17" i="140"/>
  <c r="P16" i="140"/>
  <c r="P15" i="140"/>
  <c r="O15" i="140"/>
  <c r="P14" i="140"/>
  <c r="P13" i="140"/>
  <c r="O13" i="140"/>
  <c r="C19" i="139"/>
  <c r="M92" i="29" s="1"/>
  <c r="Q18" i="139"/>
  <c r="P18" i="139" s="1"/>
  <c r="P17" i="139"/>
  <c r="O17" i="139"/>
  <c r="P16" i="139"/>
  <c r="P15" i="139"/>
  <c r="O15" i="139"/>
  <c r="P14" i="139"/>
  <c r="P13" i="139"/>
  <c r="O13" i="139"/>
  <c r="C19" i="138"/>
  <c r="M91" i="29" s="1"/>
  <c r="Q18" i="138"/>
  <c r="P18" i="138" s="1"/>
  <c r="Q17" i="138"/>
  <c r="P17" i="138" s="1"/>
  <c r="O17" i="138"/>
  <c r="Q16" i="138"/>
  <c r="P16" i="138" s="1"/>
  <c r="Q15" i="138"/>
  <c r="P15" i="138" s="1"/>
  <c r="O15" i="138"/>
  <c r="Q14" i="138"/>
  <c r="P14" i="138" s="1"/>
  <c r="P13" i="138"/>
  <c r="O13" i="138"/>
  <c r="C19" i="132"/>
  <c r="C19" i="135"/>
  <c r="C19" i="134"/>
  <c r="C19" i="105"/>
  <c r="C19" i="137"/>
  <c r="C19" i="90"/>
  <c r="C19" i="114"/>
  <c r="C19" i="117"/>
  <c r="C21" i="117" s="1"/>
  <c r="C23" i="117" s="1"/>
  <c r="C19" i="103"/>
  <c r="C19" i="87"/>
  <c r="C19" i="122"/>
  <c r="C19" i="57"/>
  <c r="C19" i="69"/>
  <c r="C19" i="76"/>
  <c r="C19" i="97"/>
  <c r="C19" i="98"/>
  <c r="C19" i="62"/>
  <c r="C19" i="130"/>
  <c r="C19" i="68"/>
  <c r="C19" i="65"/>
  <c r="C19" i="52"/>
  <c r="C19" i="50"/>
  <c r="C19" i="127"/>
  <c r="C19" i="125"/>
  <c r="C19" i="79"/>
  <c r="C19" i="70"/>
  <c r="C19" i="124"/>
  <c r="C19" i="51"/>
  <c r="C19" i="58"/>
  <c r="C19" i="72"/>
  <c r="C19" i="47"/>
  <c r="C19" i="129"/>
  <c r="C19" i="71"/>
  <c r="C19" i="53"/>
  <c r="C19" i="64"/>
  <c r="C19" i="49"/>
  <c r="C19" i="96"/>
  <c r="C21" i="96" s="1"/>
  <c r="C19" i="106"/>
  <c r="C19" i="63"/>
  <c r="C21" i="63" s="1"/>
  <c r="C23" i="63" s="1"/>
  <c r="C19" i="3"/>
  <c r="C19" i="55"/>
  <c r="C21" i="55" s="1"/>
  <c r="C19" i="128"/>
  <c r="C19" i="56"/>
  <c r="C21" i="56" s="1"/>
  <c r="C23" i="56" s="1"/>
  <c r="C19" i="61"/>
  <c r="C21" i="61" s="1"/>
  <c r="C19" i="81"/>
  <c r="C21" i="81" s="1"/>
  <c r="C23" i="81" s="1"/>
  <c r="C19" i="66"/>
  <c r="C21" i="66" s="1"/>
  <c r="C19" i="67"/>
  <c r="C21" i="67" s="1"/>
  <c r="C23" i="67" s="1"/>
  <c r="C19" i="102"/>
  <c r="C21" i="102" s="1"/>
  <c r="C19" i="48"/>
  <c r="C21" i="48" s="1"/>
  <c r="C23" i="48" s="1"/>
  <c r="C19" i="95"/>
  <c r="C21" i="95" s="1"/>
  <c r="C23" i="95" s="1"/>
  <c r="C19" i="54"/>
  <c r="C21" i="54" s="1"/>
  <c r="C19" i="60"/>
  <c r="C21" i="60" s="1"/>
  <c r="C23" i="60" s="1"/>
  <c r="C19" i="83"/>
  <c r="C21" i="83" s="1"/>
  <c r="C23" i="83" s="1"/>
  <c r="C19" i="73"/>
  <c r="C21" i="73" s="1"/>
  <c r="C23" i="73" s="1"/>
  <c r="C19" i="85"/>
  <c r="C21" i="85" s="1"/>
  <c r="C19" i="84"/>
  <c r="C21" i="84" s="1"/>
  <c r="C23" i="84" s="1"/>
  <c r="C19" i="86"/>
  <c r="C21" i="86" s="1"/>
  <c r="C23" i="86" s="1"/>
  <c r="O13" i="84"/>
  <c r="O15" i="84"/>
  <c r="O17" i="84"/>
  <c r="U90" i="29"/>
  <c r="U73" i="29"/>
  <c r="P36" i="142" l="1"/>
  <c r="P41" i="142" s="1"/>
  <c r="L36" i="142"/>
  <c r="M36" i="142" s="1"/>
  <c r="N36" i="142" s="1"/>
  <c r="O36" i="142" s="1"/>
  <c r="L31" i="141"/>
  <c r="L32" i="141" s="1"/>
  <c r="L33" i="141" s="1"/>
  <c r="L35" i="141" s="1"/>
  <c r="Q31" i="141"/>
  <c r="Q32" i="141" s="1"/>
  <c r="Q35" i="141" s="1"/>
  <c r="Q36" i="141" s="1"/>
  <c r="Q41" i="141" s="1"/>
  <c r="P32" i="141"/>
  <c r="P35" i="141" s="1"/>
  <c r="K31" i="141"/>
  <c r="K32" i="141" s="1"/>
  <c r="K33" i="141" s="1"/>
  <c r="K35" i="141" s="1"/>
  <c r="K36" i="141" s="1"/>
  <c r="D41" i="142"/>
  <c r="O26" i="67"/>
  <c r="C26" i="67"/>
  <c r="C28" i="67" s="1"/>
  <c r="C26" i="73"/>
  <c r="C28" i="73" s="1"/>
  <c r="O26" i="73"/>
  <c r="C23" i="66"/>
  <c r="C23" i="54"/>
  <c r="C26" i="56"/>
  <c r="C28" i="56" s="1"/>
  <c r="C26" i="95"/>
  <c r="C28" i="95" s="1"/>
  <c r="C26" i="86"/>
  <c r="C28" i="86" s="1"/>
  <c r="O23" i="86"/>
  <c r="O26" i="86" s="1"/>
  <c r="C26" i="83"/>
  <c r="C28" i="83" s="1"/>
  <c r="O26" i="83"/>
  <c r="C26" i="48"/>
  <c r="C28" i="48" s="1"/>
  <c r="C26" i="81"/>
  <c r="C28" i="81" s="1"/>
  <c r="O26" i="81"/>
  <c r="C23" i="55"/>
  <c r="C23" i="96"/>
  <c r="C26" i="84"/>
  <c r="C28" i="84" s="1"/>
  <c r="O23" i="60"/>
  <c r="O26" i="60" s="1"/>
  <c r="C26" i="60"/>
  <c r="C28" i="60" s="1"/>
  <c r="C23" i="102"/>
  <c r="C23" i="61"/>
  <c r="C23" i="3"/>
  <c r="C26" i="117"/>
  <c r="C28" i="117" s="1"/>
  <c r="O23" i="117"/>
  <c r="O26" i="117" s="1"/>
  <c r="C23" i="85"/>
  <c r="C26" i="63"/>
  <c r="C28" i="63" s="1"/>
  <c r="O23" i="63"/>
  <c r="O26" i="63" s="1"/>
  <c r="Y91" i="29"/>
  <c r="AA92" i="29"/>
  <c r="S93" i="29"/>
  <c r="AA91" i="29"/>
  <c r="S92" i="29"/>
  <c r="W93" i="29"/>
  <c r="S91" i="29"/>
  <c r="AC91" i="29"/>
  <c r="Y93" i="29"/>
  <c r="W91" i="29"/>
  <c r="Y92" i="29"/>
  <c r="I41" i="144"/>
  <c r="AB96" i="29"/>
  <c r="AC92" i="29"/>
  <c r="AA93" i="29"/>
  <c r="AC93" i="29"/>
  <c r="W92" i="29"/>
  <c r="Q91" i="29"/>
  <c r="Q92" i="29"/>
  <c r="Q93" i="29"/>
  <c r="M41" i="145"/>
  <c r="O19" i="140"/>
  <c r="P94" i="29"/>
  <c r="O19" i="138"/>
  <c r="O21" i="138" s="1"/>
  <c r="O28" i="138" s="1"/>
  <c r="O30" i="138" s="1"/>
  <c r="O91" i="29"/>
  <c r="O92" i="29"/>
  <c r="O93" i="29"/>
  <c r="P39" i="142"/>
  <c r="P19" i="139"/>
  <c r="P21" i="139" s="1"/>
  <c r="P23" i="139" s="1"/>
  <c r="P26" i="139" s="1"/>
  <c r="P28" i="139" s="1"/>
  <c r="P30" i="139" s="1"/>
  <c r="P19" i="138"/>
  <c r="P21" i="138" s="1"/>
  <c r="P23" i="138" s="1"/>
  <c r="P26" i="138" s="1"/>
  <c r="O19" i="139"/>
  <c r="O21" i="139" s="1"/>
  <c r="O23" i="139" s="1"/>
  <c r="O26" i="139" s="1"/>
  <c r="O28" i="139" s="1"/>
  <c r="O30" i="139" s="1"/>
  <c r="O31" i="139" s="1"/>
  <c r="P19" i="140"/>
  <c r="P21" i="140" s="1"/>
  <c r="P23" i="140" s="1"/>
  <c r="P26" i="140" s="1"/>
  <c r="Q19" i="140"/>
  <c r="Q21" i="140" s="1"/>
  <c r="Q19" i="139"/>
  <c r="Q21" i="139" s="1"/>
  <c r="Q19" i="138"/>
  <c r="Q21" i="138" s="1"/>
  <c r="O19" i="84"/>
  <c r="O21" i="84" s="1"/>
  <c r="U89" i="29"/>
  <c r="U88" i="29"/>
  <c r="U87" i="29"/>
  <c r="U86" i="29"/>
  <c r="U85" i="29"/>
  <c r="U84" i="29"/>
  <c r="U83" i="29"/>
  <c r="U82" i="29"/>
  <c r="U81" i="29"/>
  <c r="U80" i="29"/>
  <c r="U79" i="29"/>
  <c r="U78" i="29"/>
  <c r="U77" i="29"/>
  <c r="O23" i="84" l="1"/>
  <c r="O26" i="84" s="1"/>
  <c r="O28" i="84" s="1"/>
  <c r="O30" i="84" s="1"/>
  <c r="O32" i="139"/>
  <c r="O33" i="139" s="1"/>
  <c r="O35" i="139" s="1"/>
  <c r="P31" i="139"/>
  <c r="Q31" i="139" s="1"/>
  <c r="L36" i="141"/>
  <c r="M36" i="141" s="1"/>
  <c r="P36" i="141"/>
  <c r="P41" i="141" s="1"/>
  <c r="P37" i="141"/>
  <c r="O31" i="138"/>
  <c r="P31" i="138" s="1"/>
  <c r="Q31" i="138" s="1"/>
  <c r="P95" i="29"/>
  <c r="L30" i="60"/>
  <c r="L31" i="60" s="1"/>
  <c r="L32" i="60" s="1"/>
  <c r="L33" i="60" s="1"/>
  <c r="L35" i="60" s="1"/>
  <c r="G30" i="60"/>
  <c r="F30" i="60"/>
  <c r="F31" i="60" s="1"/>
  <c r="F32" i="60" s="1"/>
  <c r="F33" i="60" s="1"/>
  <c r="F35" i="60" s="1"/>
  <c r="H30" i="60"/>
  <c r="H31" i="60" s="1"/>
  <c r="H32" i="60" s="1"/>
  <c r="H33" i="60" s="1"/>
  <c r="H35" i="60" s="1"/>
  <c r="C30" i="60"/>
  <c r="M30" i="60"/>
  <c r="M31" i="60" s="1"/>
  <c r="M32" i="60" s="1"/>
  <c r="M33" i="60" s="1"/>
  <c r="M35" i="60" s="1"/>
  <c r="D30" i="60"/>
  <c r="D31" i="60" s="1"/>
  <c r="D32" i="60" s="1"/>
  <c r="D33" i="60" s="1"/>
  <c r="D35" i="60" s="1"/>
  <c r="N30" i="60"/>
  <c r="N31" i="60" s="1"/>
  <c r="N32" i="60" s="1"/>
  <c r="N33" i="60" s="1"/>
  <c r="N35" i="60" s="1"/>
  <c r="I30" i="60"/>
  <c r="I31" i="60" s="1"/>
  <c r="I32" i="60" s="1"/>
  <c r="I33" i="60" s="1"/>
  <c r="I35" i="60" s="1"/>
  <c r="K30" i="60"/>
  <c r="J30" i="60"/>
  <c r="J31" i="60" s="1"/>
  <c r="J32" i="60" s="1"/>
  <c r="J33" i="60" s="1"/>
  <c r="J35" i="60" s="1"/>
  <c r="E30" i="60"/>
  <c r="E31" i="60" s="1"/>
  <c r="E32" i="60" s="1"/>
  <c r="E33" i="60" s="1"/>
  <c r="E35" i="60" s="1"/>
  <c r="C26" i="96"/>
  <c r="C28" i="96" s="1"/>
  <c r="O26" i="96"/>
  <c r="C26" i="54"/>
  <c r="C28" i="54" s="1"/>
  <c r="O26" i="54"/>
  <c r="K30" i="63"/>
  <c r="K31" i="63" s="1"/>
  <c r="K32" i="63" s="1"/>
  <c r="K33" i="63" s="1"/>
  <c r="K35" i="63" s="1"/>
  <c r="J30" i="63"/>
  <c r="J31" i="63" s="1"/>
  <c r="J32" i="63" s="1"/>
  <c r="J33" i="63" s="1"/>
  <c r="J35" i="63" s="1"/>
  <c r="E30" i="63"/>
  <c r="E31" i="63" s="1"/>
  <c r="E32" i="63" s="1"/>
  <c r="E33" i="63" s="1"/>
  <c r="E35" i="63" s="1"/>
  <c r="H30" i="63"/>
  <c r="H31" i="63" s="1"/>
  <c r="H32" i="63" s="1"/>
  <c r="H33" i="63" s="1"/>
  <c r="H35" i="63" s="1"/>
  <c r="M30" i="63"/>
  <c r="M31" i="63" s="1"/>
  <c r="M32" i="63" s="1"/>
  <c r="M33" i="63" s="1"/>
  <c r="M35" i="63" s="1"/>
  <c r="N30" i="63"/>
  <c r="N31" i="63" s="1"/>
  <c r="N32" i="63" s="1"/>
  <c r="N33" i="63" s="1"/>
  <c r="N35" i="63" s="1"/>
  <c r="I30" i="63"/>
  <c r="I31" i="63" s="1"/>
  <c r="I32" i="63" s="1"/>
  <c r="I33" i="63" s="1"/>
  <c r="I35" i="63" s="1"/>
  <c r="L30" i="63"/>
  <c r="L31" i="63" s="1"/>
  <c r="L32" i="63" s="1"/>
  <c r="L33" i="63" s="1"/>
  <c r="L35" i="63" s="1"/>
  <c r="G30" i="63"/>
  <c r="F30" i="63"/>
  <c r="F31" i="63" s="1"/>
  <c r="F32" i="63" s="1"/>
  <c r="F33" i="63" s="1"/>
  <c r="F35" i="63" s="1"/>
  <c r="C30" i="63"/>
  <c r="C31" i="63" s="1"/>
  <c r="C32" i="63" s="1"/>
  <c r="C33" i="63" s="1"/>
  <c r="C35" i="63" s="1"/>
  <c r="C36" i="63" s="1"/>
  <c r="D30" i="63"/>
  <c r="D31" i="63" s="1"/>
  <c r="D32" i="63" s="1"/>
  <c r="D33" i="63" s="1"/>
  <c r="D35" i="63" s="1"/>
  <c r="L30" i="117"/>
  <c r="K30" i="117"/>
  <c r="K31" i="117" s="1"/>
  <c r="K32" i="117" s="1"/>
  <c r="K33" i="117" s="1"/>
  <c r="K35" i="117" s="1"/>
  <c r="N30" i="117"/>
  <c r="N31" i="117" s="1"/>
  <c r="N32" i="117" s="1"/>
  <c r="N33" i="117" s="1"/>
  <c r="N35" i="117" s="1"/>
  <c r="D30" i="117"/>
  <c r="C30" i="117"/>
  <c r="F30" i="117"/>
  <c r="F31" i="117" s="1"/>
  <c r="F32" i="117" s="1"/>
  <c r="F33" i="117" s="1"/>
  <c r="F35" i="117" s="1"/>
  <c r="H30" i="117"/>
  <c r="G30" i="117"/>
  <c r="J30" i="117"/>
  <c r="J31" i="117" s="1"/>
  <c r="J32" i="117" s="1"/>
  <c r="J33" i="117" s="1"/>
  <c r="J35" i="117" s="1"/>
  <c r="I30" i="117"/>
  <c r="I31" i="117" s="1"/>
  <c r="I32" i="117" s="1"/>
  <c r="I33" i="117" s="1"/>
  <c r="I35" i="117" s="1"/>
  <c r="M30" i="117"/>
  <c r="M31" i="117" s="1"/>
  <c r="M32" i="117" s="1"/>
  <c r="M33" i="117" s="1"/>
  <c r="M35" i="117" s="1"/>
  <c r="E30" i="117"/>
  <c r="E31" i="117" s="1"/>
  <c r="E32" i="117" s="1"/>
  <c r="E33" i="117" s="1"/>
  <c r="E35" i="117" s="1"/>
  <c r="C26" i="61"/>
  <c r="C28" i="61" s="1"/>
  <c r="O26" i="61"/>
  <c r="D30" i="81"/>
  <c r="C30" i="81"/>
  <c r="F30" i="81"/>
  <c r="F31" i="81" s="1"/>
  <c r="F32" i="81" s="1"/>
  <c r="F33" i="81" s="1"/>
  <c r="F35" i="81" s="1"/>
  <c r="K30" i="81"/>
  <c r="I30" i="81"/>
  <c r="I31" i="81" s="1"/>
  <c r="I32" i="81" s="1"/>
  <c r="I33" i="81" s="1"/>
  <c r="I35" i="81" s="1"/>
  <c r="E30" i="81"/>
  <c r="E31" i="81" s="1"/>
  <c r="E32" i="81" s="1"/>
  <c r="E33" i="81" s="1"/>
  <c r="E35" i="81" s="1"/>
  <c r="M30" i="81"/>
  <c r="M31" i="81" s="1"/>
  <c r="M32" i="81" s="1"/>
  <c r="M33" i="81" s="1"/>
  <c r="M35" i="81" s="1"/>
  <c r="L30" i="81"/>
  <c r="N30" i="81"/>
  <c r="N31" i="81" s="1"/>
  <c r="N32" i="81" s="1"/>
  <c r="N33" i="81" s="1"/>
  <c r="N35" i="81" s="1"/>
  <c r="G30" i="81"/>
  <c r="H30" i="81"/>
  <c r="H31" i="81" s="1"/>
  <c r="H32" i="81" s="1"/>
  <c r="H33" i="81" s="1"/>
  <c r="H35" i="81" s="1"/>
  <c r="J30" i="81"/>
  <c r="J31" i="81" s="1"/>
  <c r="J32" i="81" s="1"/>
  <c r="J33" i="81" s="1"/>
  <c r="J35" i="81" s="1"/>
  <c r="L30" i="83"/>
  <c r="M30" i="83"/>
  <c r="M31" i="83" s="1"/>
  <c r="M32" i="83" s="1"/>
  <c r="M33" i="83" s="1"/>
  <c r="M35" i="83" s="1"/>
  <c r="C30" i="83"/>
  <c r="C31" i="83" s="1"/>
  <c r="C32" i="83" s="1"/>
  <c r="C33" i="83" s="1"/>
  <c r="C35" i="83" s="1"/>
  <c r="C36" i="83" s="1"/>
  <c r="D30" i="83"/>
  <c r="F30" i="83"/>
  <c r="F31" i="83" s="1"/>
  <c r="F32" i="83" s="1"/>
  <c r="F33" i="83" s="1"/>
  <c r="F35" i="83" s="1"/>
  <c r="H30" i="83"/>
  <c r="E30" i="83"/>
  <c r="J30" i="83"/>
  <c r="J31" i="83" s="1"/>
  <c r="J32" i="83" s="1"/>
  <c r="J33" i="83" s="1"/>
  <c r="J35" i="83" s="1"/>
  <c r="K30" i="83"/>
  <c r="K31" i="83" s="1"/>
  <c r="K32" i="83" s="1"/>
  <c r="K33" i="83" s="1"/>
  <c r="K35" i="83" s="1"/>
  <c r="N30" i="83"/>
  <c r="N31" i="83" s="1"/>
  <c r="N32" i="83" s="1"/>
  <c r="N33" i="83" s="1"/>
  <c r="N35" i="83" s="1"/>
  <c r="G30" i="83"/>
  <c r="G31" i="83" s="1"/>
  <c r="G32" i="83" s="1"/>
  <c r="G33" i="83" s="1"/>
  <c r="G35" i="83" s="1"/>
  <c r="I30" i="83"/>
  <c r="I31" i="83" s="1"/>
  <c r="I32" i="83" s="1"/>
  <c r="I33" i="83" s="1"/>
  <c r="I35" i="83" s="1"/>
  <c r="L30" i="95"/>
  <c r="L31" i="95" s="1"/>
  <c r="L32" i="95" s="1"/>
  <c r="L33" i="95" s="1"/>
  <c r="L35" i="95" s="1"/>
  <c r="F30" i="95"/>
  <c r="F31" i="95" s="1"/>
  <c r="F32" i="95" s="1"/>
  <c r="F33" i="95" s="1"/>
  <c r="F35" i="95" s="1"/>
  <c r="G30" i="95"/>
  <c r="D30" i="95"/>
  <c r="D31" i="95" s="1"/>
  <c r="D32" i="95" s="1"/>
  <c r="D33" i="95" s="1"/>
  <c r="D35" i="95" s="1"/>
  <c r="J30" i="95"/>
  <c r="J31" i="95" s="1"/>
  <c r="J32" i="95" s="1"/>
  <c r="J33" i="95" s="1"/>
  <c r="J35" i="95" s="1"/>
  <c r="H30" i="95"/>
  <c r="M30" i="95"/>
  <c r="M31" i="95" s="1"/>
  <c r="M32" i="95" s="1"/>
  <c r="M33" i="95" s="1"/>
  <c r="M35" i="95" s="1"/>
  <c r="C30" i="95"/>
  <c r="E30" i="95"/>
  <c r="E31" i="95" s="1"/>
  <c r="E32" i="95" s="1"/>
  <c r="E33" i="95" s="1"/>
  <c r="E35" i="95" s="1"/>
  <c r="N30" i="95"/>
  <c r="N31" i="95" s="1"/>
  <c r="N32" i="95" s="1"/>
  <c r="N33" i="95" s="1"/>
  <c r="N35" i="95" s="1"/>
  <c r="K30" i="95"/>
  <c r="I30" i="95"/>
  <c r="H30" i="73"/>
  <c r="H31" i="73" s="1"/>
  <c r="H32" i="73" s="1"/>
  <c r="H33" i="73" s="1"/>
  <c r="H35" i="73" s="1"/>
  <c r="C30" i="73"/>
  <c r="M30" i="73"/>
  <c r="M31" i="73" s="1"/>
  <c r="M32" i="73" s="1"/>
  <c r="M33" i="73" s="1"/>
  <c r="M35" i="73" s="1"/>
  <c r="D30" i="73"/>
  <c r="D31" i="73" s="1"/>
  <c r="D32" i="73" s="1"/>
  <c r="D33" i="73" s="1"/>
  <c r="D35" i="73" s="1"/>
  <c r="N30" i="73"/>
  <c r="N31" i="73" s="1"/>
  <c r="N32" i="73" s="1"/>
  <c r="N33" i="73" s="1"/>
  <c r="N35" i="73" s="1"/>
  <c r="I30" i="73"/>
  <c r="I31" i="73" s="1"/>
  <c r="I32" i="73" s="1"/>
  <c r="I33" i="73" s="1"/>
  <c r="I35" i="73" s="1"/>
  <c r="K30" i="73"/>
  <c r="K31" i="73" s="1"/>
  <c r="K32" i="73" s="1"/>
  <c r="K33" i="73" s="1"/>
  <c r="K35" i="73" s="1"/>
  <c r="J30" i="73"/>
  <c r="J31" i="73" s="1"/>
  <c r="J32" i="73" s="1"/>
  <c r="J33" i="73" s="1"/>
  <c r="J35" i="73" s="1"/>
  <c r="E30" i="73"/>
  <c r="E31" i="73" s="1"/>
  <c r="E32" i="73" s="1"/>
  <c r="E33" i="73" s="1"/>
  <c r="E35" i="73" s="1"/>
  <c r="L30" i="73"/>
  <c r="L31" i="73" s="1"/>
  <c r="L32" i="73" s="1"/>
  <c r="L33" i="73" s="1"/>
  <c r="L35" i="73" s="1"/>
  <c r="G30" i="73"/>
  <c r="F30" i="73"/>
  <c r="F31" i="73" s="1"/>
  <c r="F32" i="73" s="1"/>
  <c r="F33" i="73" s="1"/>
  <c r="F35" i="73" s="1"/>
  <c r="D30" i="48"/>
  <c r="D31" i="48" s="1"/>
  <c r="D32" i="48" s="1"/>
  <c r="D33" i="48" s="1"/>
  <c r="D35" i="48" s="1"/>
  <c r="N30" i="48"/>
  <c r="I30" i="48"/>
  <c r="I31" i="48" s="1"/>
  <c r="I32" i="48" s="1"/>
  <c r="I33" i="48" s="1"/>
  <c r="I35" i="48" s="1"/>
  <c r="K30" i="48"/>
  <c r="K31" i="48" s="1"/>
  <c r="K32" i="48" s="1"/>
  <c r="K33" i="48" s="1"/>
  <c r="K35" i="48" s="1"/>
  <c r="J30" i="48"/>
  <c r="J31" i="48" s="1"/>
  <c r="J32" i="48" s="1"/>
  <c r="J33" i="48" s="1"/>
  <c r="J35" i="48" s="1"/>
  <c r="E30" i="48"/>
  <c r="E31" i="48" s="1"/>
  <c r="E32" i="48" s="1"/>
  <c r="E33" i="48" s="1"/>
  <c r="E35" i="48" s="1"/>
  <c r="L30" i="48"/>
  <c r="L31" i="48" s="1"/>
  <c r="L32" i="48" s="1"/>
  <c r="L33" i="48" s="1"/>
  <c r="L35" i="48" s="1"/>
  <c r="G30" i="48"/>
  <c r="G31" i="48" s="1"/>
  <c r="G32" i="48" s="1"/>
  <c r="G33" i="48" s="1"/>
  <c r="G35" i="48" s="1"/>
  <c r="F30" i="48"/>
  <c r="F31" i="48" s="1"/>
  <c r="F32" i="48" s="1"/>
  <c r="F33" i="48" s="1"/>
  <c r="F35" i="48" s="1"/>
  <c r="H30" i="48"/>
  <c r="C30" i="48"/>
  <c r="M30" i="48"/>
  <c r="L30" i="67"/>
  <c r="L31" i="67" s="1"/>
  <c r="L32" i="67" s="1"/>
  <c r="L33" i="67" s="1"/>
  <c r="L35" i="67" s="1"/>
  <c r="C30" i="67"/>
  <c r="G30" i="67"/>
  <c r="F30" i="67"/>
  <c r="F31" i="67" s="1"/>
  <c r="F32" i="67" s="1"/>
  <c r="F33" i="67" s="1"/>
  <c r="F35" i="67" s="1"/>
  <c r="H30" i="67"/>
  <c r="J30" i="67"/>
  <c r="J31" i="67" s="1"/>
  <c r="J32" i="67" s="1"/>
  <c r="J33" i="67" s="1"/>
  <c r="J35" i="67" s="1"/>
  <c r="N30" i="67"/>
  <c r="N31" i="67" s="1"/>
  <c r="N32" i="67" s="1"/>
  <c r="N33" i="67" s="1"/>
  <c r="N35" i="67" s="1"/>
  <c r="D30" i="67"/>
  <c r="D31" i="67" s="1"/>
  <c r="D32" i="67" s="1"/>
  <c r="D33" i="67" s="1"/>
  <c r="D35" i="67" s="1"/>
  <c r="I30" i="67"/>
  <c r="I31" i="67" s="1"/>
  <c r="I32" i="67" s="1"/>
  <c r="I33" i="67" s="1"/>
  <c r="I35" i="67" s="1"/>
  <c r="E30" i="67"/>
  <c r="E31" i="67" s="1"/>
  <c r="E32" i="67" s="1"/>
  <c r="E33" i="67" s="1"/>
  <c r="E35" i="67" s="1"/>
  <c r="K30" i="67"/>
  <c r="M30" i="67"/>
  <c r="M31" i="67" s="1"/>
  <c r="M32" i="67" s="1"/>
  <c r="M33" i="67" s="1"/>
  <c r="M35" i="67" s="1"/>
  <c r="C26" i="85"/>
  <c r="C28" i="85" s="1"/>
  <c r="O26" i="85"/>
  <c r="O28" i="85" s="1"/>
  <c r="O30" i="85" s="1"/>
  <c r="O31" i="85" s="1"/>
  <c r="O32" i="85" s="1"/>
  <c r="O33" i="85" s="1"/>
  <c r="O35" i="85" s="1"/>
  <c r="C26" i="3"/>
  <c r="C28" i="3" s="1"/>
  <c r="C26" i="102"/>
  <c r="C28" i="102" s="1"/>
  <c r="O26" i="102"/>
  <c r="K30" i="84"/>
  <c r="K31" i="84" s="1"/>
  <c r="K32" i="84" s="1"/>
  <c r="K33" i="84" s="1"/>
  <c r="K35" i="84" s="1"/>
  <c r="J30" i="84"/>
  <c r="J31" i="84" s="1"/>
  <c r="J32" i="84" s="1"/>
  <c r="J33" i="84" s="1"/>
  <c r="J35" i="84" s="1"/>
  <c r="E30" i="84"/>
  <c r="E31" i="84" s="1"/>
  <c r="E32" i="84" s="1"/>
  <c r="E33" i="84" s="1"/>
  <c r="E35" i="84" s="1"/>
  <c r="C30" i="84"/>
  <c r="C31" i="84" s="1"/>
  <c r="C32" i="84" s="1"/>
  <c r="C33" i="84" s="1"/>
  <c r="C35" i="84" s="1"/>
  <c r="D30" i="84"/>
  <c r="D31" i="84" s="1"/>
  <c r="D32" i="84" s="1"/>
  <c r="D33" i="84" s="1"/>
  <c r="D35" i="84" s="1"/>
  <c r="I30" i="84"/>
  <c r="I31" i="84" s="1"/>
  <c r="I32" i="84" s="1"/>
  <c r="I33" i="84" s="1"/>
  <c r="I35" i="84" s="1"/>
  <c r="L30" i="84"/>
  <c r="L31" i="84" s="1"/>
  <c r="L32" i="84" s="1"/>
  <c r="L33" i="84" s="1"/>
  <c r="L35" i="84" s="1"/>
  <c r="G30" i="84"/>
  <c r="G31" i="84" s="1"/>
  <c r="G32" i="84" s="1"/>
  <c r="G33" i="84" s="1"/>
  <c r="G35" i="84" s="1"/>
  <c r="F30" i="84"/>
  <c r="F31" i="84" s="1"/>
  <c r="F32" i="84" s="1"/>
  <c r="F33" i="84" s="1"/>
  <c r="F35" i="84" s="1"/>
  <c r="H30" i="84"/>
  <c r="H31" i="84" s="1"/>
  <c r="H32" i="84" s="1"/>
  <c r="H33" i="84" s="1"/>
  <c r="H35" i="84" s="1"/>
  <c r="M30" i="84"/>
  <c r="M31" i="84" s="1"/>
  <c r="M32" i="84" s="1"/>
  <c r="M33" i="84" s="1"/>
  <c r="M35" i="84" s="1"/>
  <c r="N30" i="84"/>
  <c r="N31" i="84" s="1"/>
  <c r="N32" i="84" s="1"/>
  <c r="N33" i="84" s="1"/>
  <c r="N35" i="84" s="1"/>
  <c r="N36" i="84" s="1"/>
  <c r="O36" i="84" s="1"/>
  <c r="O26" i="55"/>
  <c r="C26" i="55"/>
  <c r="C28" i="55" s="1"/>
  <c r="J30" i="86"/>
  <c r="G30" i="86"/>
  <c r="G31" i="86" s="1"/>
  <c r="G32" i="86" s="1"/>
  <c r="G33" i="86" s="1"/>
  <c r="G35" i="86" s="1"/>
  <c r="L30" i="86"/>
  <c r="M30" i="86"/>
  <c r="M31" i="86" s="1"/>
  <c r="M32" i="86" s="1"/>
  <c r="M33" i="86" s="1"/>
  <c r="M35" i="86" s="1"/>
  <c r="H30" i="86"/>
  <c r="H31" i="86" s="1"/>
  <c r="H32" i="86" s="1"/>
  <c r="H33" i="86" s="1"/>
  <c r="H35" i="86" s="1"/>
  <c r="N30" i="86"/>
  <c r="N31" i="86" s="1"/>
  <c r="N32" i="86" s="1"/>
  <c r="N33" i="86" s="1"/>
  <c r="N35" i="86" s="1"/>
  <c r="K30" i="86"/>
  <c r="K31" i="86" s="1"/>
  <c r="K32" i="86" s="1"/>
  <c r="K33" i="86" s="1"/>
  <c r="K35" i="86" s="1"/>
  <c r="E30" i="86"/>
  <c r="E31" i="86" s="1"/>
  <c r="E32" i="86" s="1"/>
  <c r="E33" i="86" s="1"/>
  <c r="E35" i="86" s="1"/>
  <c r="I30" i="86"/>
  <c r="C30" i="86"/>
  <c r="C31" i="86" s="1"/>
  <c r="C32" i="86" s="1"/>
  <c r="C33" i="86" s="1"/>
  <c r="C35" i="86" s="1"/>
  <c r="C36" i="86" s="1"/>
  <c r="D30" i="86"/>
  <c r="F30" i="86"/>
  <c r="F31" i="86" s="1"/>
  <c r="F32" i="86" s="1"/>
  <c r="F33" i="86" s="1"/>
  <c r="F35" i="86" s="1"/>
  <c r="L30" i="56"/>
  <c r="L31" i="56" s="1"/>
  <c r="L32" i="56" s="1"/>
  <c r="L33" i="56" s="1"/>
  <c r="L35" i="56" s="1"/>
  <c r="G30" i="56"/>
  <c r="G31" i="56" s="1"/>
  <c r="G32" i="56" s="1"/>
  <c r="G33" i="56" s="1"/>
  <c r="G35" i="56" s="1"/>
  <c r="F30" i="56"/>
  <c r="F31" i="56" s="1"/>
  <c r="F32" i="56" s="1"/>
  <c r="F33" i="56" s="1"/>
  <c r="F35" i="56" s="1"/>
  <c r="N30" i="56"/>
  <c r="H30" i="56"/>
  <c r="H31" i="56" s="1"/>
  <c r="H32" i="56" s="1"/>
  <c r="H33" i="56" s="1"/>
  <c r="H35" i="56" s="1"/>
  <c r="C30" i="56"/>
  <c r="C31" i="56" s="1"/>
  <c r="C32" i="56" s="1"/>
  <c r="C33" i="56" s="1"/>
  <c r="C35" i="56" s="1"/>
  <c r="C36" i="56" s="1"/>
  <c r="M30" i="56"/>
  <c r="M31" i="56" s="1"/>
  <c r="M32" i="56" s="1"/>
  <c r="M33" i="56" s="1"/>
  <c r="M35" i="56" s="1"/>
  <c r="D30" i="56"/>
  <c r="D31" i="56" s="1"/>
  <c r="D32" i="56" s="1"/>
  <c r="D33" i="56" s="1"/>
  <c r="D35" i="56" s="1"/>
  <c r="I30" i="56"/>
  <c r="I31" i="56" s="1"/>
  <c r="I32" i="56" s="1"/>
  <c r="I33" i="56" s="1"/>
  <c r="I35" i="56" s="1"/>
  <c r="J30" i="56"/>
  <c r="J31" i="56" s="1"/>
  <c r="J32" i="56" s="1"/>
  <c r="J33" i="56" s="1"/>
  <c r="J35" i="56" s="1"/>
  <c r="K30" i="56"/>
  <c r="K31" i="56" s="1"/>
  <c r="K32" i="56" s="1"/>
  <c r="K33" i="56" s="1"/>
  <c r="K35" i="56" s="1"/>
  <c r="E30" i="56"/>
  <c r="O26" i="66"/>
  <c r="C26" i="66"/>
  <c r="C28" i="66" s="1"/>
  <c r="J41" i="144"/>
  <c r="AD96" i="29"/>
  <c r="K41" i="144"/>
  <c r="D41" i="141"/>
  <c r="N41" i="145"/>
  <c r="E41" i="142"/>
  <c r="R95" i="29"/>
  <c r="P28" i="140"/>
  <c r="P30" i="140" s="1"/>
  <c r="P32" i="140" s="1"/>
  <c r="P33" i="140" s="1"/>
  <c r="P35" i="140" s="1"/>
  <c r="P36" i="140" s="1"/>
  <c r="P41" i="140" s="1"/>
  <c r="P28" i="138"/>
  <c r="P30" i="138" s="1"/>
  <c r="Q23" i="140"/>
  <c r="Q26" i="140" s="1"/>
  <c r="Q28" i="140" s="1"/>
  <c r="Q30" i="140" s="1"/>
  <c r="Q32" i="140" s="1"/>
  <c r="Q33" i="140" s="1"/>
  <c r="Q35" i="140" s="1"/>
  <c r="Q23" i="139"/>
  <c r="Q26" i="139" s="1"/>
  <c r="Q28" i="139" s="1"/>
  <c r="Q30" i="139" s="1"/>
  <c r="Q32" i="139" s="1"/>
  <c r="Q33" i="139" s="1"/>
  <c r="Q35" i="139" s="1"/>
  <c r="Q23" i="138"/>
  <c r="Q26" i="138" s="1"/>
  <c r="Q28" i="138" s="1"/>
  <c r="Q30" i="138" s="1"/>
  <c r="U76" i="29"/>
  <c r="U75" i="29"/>
  <c r="U74" i="29"/>
  <c r="P32" i="139" l="1"/>
  <c r="P33" i="139" s="1"/>
  <c r="P35" i="139" s="1"/>
  <c r="P36" i="139" s="1"/>
  <c r="P41" i="139" s="1"/>
  <c r="P32" i="138"/>
  <c r="P35" i="138" s="1"/>
  <c r="P36" i="138" s="1"/>
  <c r="P41" i="138" s="1"/>
  <c r="Q32" i="138"/>
  <c r="Q35" i="138" s="1"/>
  <c r="N36" i="141"/>
  <c r="O36" i="141" s="1"/>
  <c r="V94" i="29"/>
  <c r="P39" i="141"/>
  <c r="O32" i="138"/>
  <c r="O33" i="138" s="1"/>
  <c r="O35" i="138" s="1"/>
  <c r="O41" i="145"/>
  <c r="L41" i="144"/>
  <c r="D31" i="86"/>
  <c r="D32" i="86" s="1"/>
  <c r="D33" i="86" s="1"/>
  <c r="D35" i="86" s="1"/>
  <c r="D36" i="86" s="1"/>
  <c r="L31" i="86"/>
  <c r="L32" i="86" s="1"/>
  <c r="L33" i="86" s="1"/>
  <c r="L35" i="86" s="1"/>
  <c r="L30" i="55"/>
  <c r="L31" i="55" s="1"/>
  <c r="L32" i="55" s="1"/>
  <c r="L33" i="55" s="1"/>
  <c r="L35" i="55" s="1"/>
  <c r="G30" i="55"/>
  <c r="F30" i="55"/>
  <c r="F31" i="55" s="1"/>
  <c r="F32" i="55" s="1"/>
  <c r="F33" i="55" s="1"/>
  <c r="F35" i="55" s="1"/>
  <c r="N30" i="55"/>
  <c r="N31" i="55" s="1"/>
  <c r="N32" i="55" s="1"/>
  <c r="N33" i="55" s="1"/>
  <c r="N35" i="55" s="1"/>
  <c r="H30" i="55"/>
  <c r="H31" i="55" s="1"/>
  <c r="H32" i="55" s="1"/>
  <c r="H33" i="55" s="1"/>
  <c r="H35" i="55" s="1"/>
  <c r="C30" i="55"/>
  <c r="I30" i="55"/>
  <c r="I31" i="55" s="1"/>
  <c r="I32" i="55" s="1"/>
  <c r="I33" i="55" s="1"/>
  <c r="I35" i="55" s="1"/>
  <c r="D30" i="55"/>
  <c r="D31" i="55" s="1"/>
  <c r="D32" i="55" s="1"/>
  <c r="D33" i="55" s="1"/>
  <c r="D35" i="55" s="1"/>
  <c r="E30" i="55"/>
  <c r="E31" i="55" s="1"/>
  <c r="E32" i="55" s="1"/>
  <c r="E33" i="55" s="1"/>
  <c r="E35" i="55" s="1"/>
  <c r="M30" i="55"/>
  <c r="M31" i="55" s="1"/>
  <c r="M32" i="55" s="1"/>
  <c r="M33" i="55" s="1"/>
  <c r="M35" i="55" s="1"/>
  <c r="K30" i="55"/>
  <c r="J30" i="55"/>
  <c r="J31" i="55" s="1"/>
  <c r="J32" i="55" s="1"/>
  <c r="J33" i="55" s="1"/>
  <c r="J35" i="55" s="1"/>
  <c r="H32" i="48"/>
  <c r="H33" i="48" s="1"/>
  <c r="H35" i="48" s="1"/>
  <c r="H31" i="48"/>
  <c r="N31" i="48"/>
  <c r="N32" i="48" s="1"/>
  <c r="N33" i="48" s="1"/>
  <c r="N35" i="48" s="1"/>
  <c r="G32" i="73"/>
  <c r="G33" i="73" s="1"/>
  <c r="G35" i="73" s="1"/>
  <c r="G31" i="73"/>
  <c r="K31" i="95"/>
  <c r="K32" i="95" s="1"/>
  <c r="K33" i="95" s="1"/>
  <c r="K35" i="95" s="1"/>
  <c r="G31" i="95"/>
  <c r="G32" i="95" s="1"/>
  <c r="G33" i="95" s="1"/>
  <c r="G35" i="95" s="1"/>
  <c r="E32" i="83"/>
  <c r="E33" i="83" s="1"/>
  <c r="E35" i="83" s="1"/>
  <c r="E31" i="83"/>
  <c r="D30" i="54"/>
  <c r="D31" i="54" s="1"/>
  <c r="D32" i="54" s="1"/>
  <c r="D33" i="54" s="1"/>
  <c r="D35" i="54" s="1"/>
  <c r="D36" i="54" s="1"/>
  <c r="C30" i="54"/>
  <c r="C31" i="54" s="1"/>
  <c r="C32" i="54" s="1"/>
  <c r="C33" i="54" s="1"/>
  <c r="C35" i="54" s="1"/>
  <c r="C36" i="54" s="1"/>
  <c r="G30" i="54"/>
  <c r="G31" i="54" s="1"/>
  <c r="G32" i="54" s="1"/>
  <c r="G33" i="54" s="1"/>
  <c r="G35" i="54" s="1"/>
  <c r="J30" i="54"/>
  <c r="N30" i="54"/>
  <c r="H30" i="54"/>
  <c r="H31" i="54" s="1"/>
  <c r="H32" i="54" s="1"/>
  <c r="H33" i="54" s="1"/>
  <c r="H35" i="54" s="1"/>
  <c r="F30" i="54"/>
  <c r="K30" i="54"/>
  <c r="K31" i="54" s="1"/>
  <c r="K32" i="54" s="1"/>
  <c r="K33" i="54" s="1"/>
  <c r="K35" i="54" s="1"/>
  <c r="E30" i="54"/>
  <c r="M30" i="54"/>
  <c r="I30" i="54"/>
  <c r="L30" i="54"/>
  <c r="L31" i="54" s="1"/>
  <c r="L32" i="54" s="1"/>
  <c r="L33" i="54" s="1"/>
  <c r="L35" i="54" s="1"/>
  <c r="K32" i="60"/>
  <c r="K33" i="60" s="1"/>
  <c r="K35" i="60" s="1"/>
  <c r="K31" i="60"/>
  <c r="G31" i="60"/>
  <c r="G32" i="60" s="1"/>
  <c r="G33" i="60" s="1"/>
  <c r="G35" i="60" s="1"/>
  <c r="H31" i="95"/>
  <c r="H32" i="95" s="1"/>
  <c r="H33" i="95" s="1"/>
  <c r="H35" i="95" s="1"/>
  <c r="L32" i="117"/>
  <c r="L33" i="117" s="1"/>
  <c r="L35" i="117" s="1"/>
  <c r="L31" i="117"/>
  <c r="G31" i="63"/>
  <c r="G32" i="63" s="1"/>
  <c r="G33" i="63" s="1"/>
  <c r="G35" i="63" s="1"/>
  <c r="C30" i="96"/>
  <c r="E30" i="96"/>
  <c r="E31" i="96" s="1"/>
  <c r="E32" i="96" s="1"/>
  <c r="E33" i="96" s="1"/>
  <c r="E35" i="96" s="1"/>
  <c r="J30" i="96"/>
  <c r="H30" i="96"/>
  <c r="G30" i="96"/>
  <c r="D30" i="96"/>
  <c r="D31" i="96" s="1"/>
  <c r="D32" i="96" s="1"/>
  <c r="D33" i="96" s="1"/>
  <c r="D35" i="96" s="1"/>
  <c r="F30" i="96"/>
  <c r="F31" i="96" s="1"/>
  <c r="F32" i="96" s="1"/>
  <c r="F33" i="96" s="1"/>
  <c r="F35" i="96" s="1"/>
  <c r="I30" i="96"/>
  <c r="M30" i="96"/>
  <c r="M31" i="96" s="1"/>
  <c r="M32" i="96" s="1"/>
  <c r="M33" i="96" s="1"/>
  <c r="M35" i="96" s="1"/>
  <c r="N30" i="96"/>
  <c r="K30" i="96"/>
  <c r="L30" i="96"/>
  <c r="L31" i="96" s="1"/>
  <c r="L32" i="96" s="1"/>
  <c r="L33" i="96" s="1"/>
  <c r="L35" i="96" s="1"/>
  <c r="C31" i="60"/>
  <c r="C32" i="60" s="1"/>
  <c r="C33" i="60" s="1"/>
  <c r="C35" i="60" s="1"/>
  <c r="C36" i="60" s="1"/>
  <c r="X94" i="29"/>
  <c r="I31" i="86"/>
  <c r="I32" i="86" s="1"/>
  <c r="I33" i="86" s="1"/>
  <c r="I35" i="86" s="1"/>
  <c r="J31" i="86"/>
  <c r="J32" i="86" s="1"/>
  <c r="J33" i="86" s="1"/>
  <c r="J35" i="86" s="1"/>
  <c r="C31" i="67"/>
  <c r="C32" i="67" s="1"/>
  <c r="C33" i="67" s="1"/>
  <c r="C35" i="67" s="1"/>
  <c r="C36" i="67" s="1"/>
  <c r="M31" i="48"/>
  <c r="M32" i="48" s="1"/>
  <c r="M33" i="48" s="1"/>
  <c r="M35" i="48" s="1"/>
  <c r="O31" i="84"/>
  <c r="O32" i="84" s="1"/>
  <c r="O33" i="84" s="1"/>
  <c r="O35" i="84" s="1"/>
  <c r="L32" i="83"/>
  <c r="L33" i="83" s="1"/>
  <c r="L35" i="83" s="1"/>
  <c r="L31" i="83"/>
  <c r="D31" i="81"/>
  <c r="D32" i="81" s="1"/>
  <c r="D33" i="81" s="1"/>
  <c r="D35" i="81" s="1"/>
  <c r="D36" i="81" s="1"/>
  <c r="G31" i="117"/>
  <c r="G32" i="117" s="1"/>
  <c r="G33" i="117" s="1"/>
  <c r="G35" i="117" s="1"/>
  <c r="D31" i="117"/>
  <c r="D32" i="117" s="1"/>
  <c r="D33" i="117" s="1"/>
  <c r="D35" i="117" s="1"/>
  <c r="D36" i="117" s="1"/>
  <c r="D36" i="63"/>
  <c r="L30" i="66"/>
  <c r="K30" i="66"/>
  <c r="N30" i="66"/>
  <c r="N31" i="66" s="1"/>
  <c r="N32" i="66" s="1"/>
  <c r="N33" i="66" s="1"/>
  <c r="N35" i="66" s="1"/>
  <c r="C30" i="66"/>
  <c r="H30" i="66"/>
  <c r="G30" i="66"/>
  <c r="J30" i="66"/>
  <c r="J31" i="66" s="1"/>
  <c r="J32" i="66" s="1"/>
  <c r="J33" i="66" s="1"/>
  <c r="J35" i="66" s="1"/>
  <c r="D30" i="66"/>
  <c r="D31" i="66" s="1"/>
  <c r="D32" i="66" s="1"/>
  <c r="D33" i="66" s="1"/>
  <c r="D35" i="66" s="1"/>
  <c r="F30" i="66"/>
  <c r="F31" i="66" s="1"/>
  <c r="F32" i="66" s="1"/>
  <c r="F33" i="66" s="1"/>
  <c r="F35" i="66" s="1"/>
  <c r="M30" i="66"/>
  <c r="M31" i="66" s="1"/>
  <c r="M32" i="66" s="1"/>
  <c r="M33" i="66" s="1"/>
  <c r="M35" i="66" s="1"/>
  <c r="I30" i="66"/>
  <c r="I31" i="66" s="1"/>
  <c r="I32" i="66" s="1"/>
  <c r="I33" i="66" s="1"/>
  <c r="I35" i="66" s="1"/>
  <c r="E30" i="66"/>
  <c r="E31" i="66" s="1"/>
  <c r="E32" i="66" s="1"/>
  <c r="E33" i="66" s="1"/>
  <c r="E35" i="66" s="1"/>
  <c r="H30" i="3"/>
  <c r="J30" i="3"/>
  <c r="I30" i="3"/>
  <c r="G30" i="3"/>
  <c r="C30" i="3"/>
  <c r="L30" i="3"/>
  <c r="D30" i="3"/>
  <c r="F30" i="3"/>
  <c r="E30" i="3"/>
  <c r="K30" i="3"/>
  <c r="M30" i="3"/>
  <c r="N30" i="3"/>
  <c r="K31" i="67"/>
  <c r="K32" i="67" s="1"/>
  <c r="K33" i="67" s="1"/>
  <c r="K35" i="67" s="1"/>
  <c r="G31" i="67"/>
  <c r="G32" i="67" s="1"/>
  <c r="G33" i="67" s="1"/>
  <c r="G35" i="67" s="1"/>
  <c r="C32" i="73"/>
  <c r="C33" i="73" s="1"/>
  <c r="C35" i="73" s="1"/>
  <c r="C36" i="73" s="1"/>
  <c r="C31" i="73"/>
  <c r="H31" i="83"/>
  <c r="H32" i="83" s="1"/>
  <c r="H33" i="83" s="1"/>
  <c r="H35" i="83" s="1"/>
  <c r="G31" i="81"/>
  <c r="G32" i="81"/>
  <c r="G33" i="81" s="1"/>
  <c r="G35" i="81" s="1"/>
  <c r="C32" i="81"/>
  <c r="C33" i="81" s="1"/>
  <c r="C35" i="81" s="1"/>
  <c r="C36" i="81" s="1"/>
  <c r="C31" i="81"/>
  <c r="D30" i="61"/>
  <c r="D31" i="61" s="1"/>
  <c r="D32" i="61" s="1"/>
  <c r="D33" i="61" s="1"/>
  <c r="D35" i="61" s="1"/>
  <c r="N30" i="61"/>
  <c r="N31" i="61" s="1"/>
  <c r="N32" i="61" s="1"/>
  <c r="N33" i="61" s="1"/>
  <c r="N35" i="61" s="1"/>
  <c r="I30" i="61"/>
  <c r="I31" i="61" s="1"/>
  <c r="I32" i="61" s="1"/>
  <c r="I33" i="61" s="1"/>
  <c r="I35" i="61" s="1"/>
  <c r="G30" i="61"/>
  <c r="K30" i="61"/>
  <c r="J30" i="61"/>
  <c r="J31" i="61" s="1"/>
  <c r="J32" i="61" s="1"/>
  <c r="J33" i="61" s="1"/>
  <c r="J35" i="61" s="1"/>
  <c r="E30" i="61"/>
  <c r="E31" i="61" s="1"/>
  <c r="E32" i="61" s="1"/>
  <c r="E33" i="61" s="1"/>
  <c r="E35" i="61" s="1"/>
  <c r="L30" i="61"/>
  <c r="L31" i="61" s="1"/>
  <c r="L32" i="61" s="1"/>
  <c r="L33" i="61" s="1"/>
  <c r="L35" i="61" s="1"/>
  <c r="F30" i="61"/>
  <c r="F31" i="61" s="1"/>
  <c r="F32" i="61" s="1"/>
  <c r="F33" i="61" s="1"/>
  <c r="F35" i="61" s="1"/>
  <c r="H30" i="61"/>
  <c r="H31" i="61" s="1"/>
  <c r="H32" i="61" s="1"/>
  <c r="H33" i="61" s="1"/>
  <c r="H35" i="61" s="1"/>
  <c r="C30" i="61"/>
  <c r="M30" i="61"/>
  <c r="M31" i="61" s="1"/>
  <c r="M32" i="61" s="1"/>
  <c r="M33" i="61" s="1"/>
  <c r="M35" i="61" s="1"/>
  <c r="C31" i="117"/>
  <c r="C32" i="117"/>
  <c r="C33" i="117" s="1"/>
  <c r="C35" i="117" s="1"/>
  <c r="C36" i="117" s="1"/>
  <c r="P37" i="140"/>
  <c r="V93" i="29" s="1"/>
  <c r="E31" i="56"/>
  <c r="E32" i="56" s="1"/>
  <c r="E33" i="56" s="1"/>
  <c r="E35" i="56" s="1"/>
  <c r="E36" i="56" s="1"/>
  <c r="D36" i="56"/>
  <c r="N31" i="56"/>
  <c r="N32" i="56" s="1"/>
  <c r="N33" i="56" s="1"/>
  <c r="N35" i="56" s="1"/>
  <c r="D30" i="102"/>
  <c r="N30" i="102"/>
  <c r="I30" i="102"/>
  <c r="L30" i="102"/>
  <c r="F30" i="102"/>
  <c r="K30" i="102"/>
  <c r="K31" i="102" s="1"/>
  <c r="K32" i="102" s="1"/>
  <c r="K33" i="102" s="1"/>
  <c r="K35" i="102" s="1"/>
  <c r="J30" i="102"/>
  <c r="E30" i="102"/>
  <c r="G30" i="102"/>
  <c r="G31" i="102" s="1"/>
  <c r="G32" i="102" s="1"/>
  <c r="G33" i="102" s="1"/>
  <c r="G35" i="102" s="1"/>
  <c r="C30" i="102"/>
  <c r="C31" i="102" s="1"/>
  <c r="C32" i="102" s="1"/>
  <c r="C33" i="102" s="1"/>
  <c r="C35" i="102" s="1"/>
  <c r="C36" i="102" s="1"/>
  <c r="M30" i="102"/>
  <c r="H30" i="102"/>
  <c r="D30" i="85"/>
  <c r="D31" i="85" s="1"/>
  <c r="D32" i="85" s="1"/>
  <c r="D33" i="85" s="1"/>
  <c r="D35" i="85" s="1"/>
  <c r="C30" i="85"/>
  <c r="F30" i="85"/>
  <c r="F31" i="85" s="1"/>
  <c r="F32" i="85" s="1"/>
  <c r="F33" i="85" s="1"/>
  <c r="F35" i="85" s="1"/>
  <c r="L30" i="85"/>
  <c r="K30" i="85"/>
  <c r="N30" i="85"/>
  <c r="M30" i="85"/>
  <c r="M31" i="85" s="1"/>
  <c r="M32" i="85" s="1"/>
  <c r="M33" i="85" s="1"/>
  <c r="M35" i="85" s="1"/>
  <c r="E30" i="85"/>
  <c r="I30" i="85"/>
  <c r="I31" i="85" s="1"/>
  <c r="I32" i="85" s="1"/>
  <c r="I33" i="85" s="1"/>
  <c r="I35" i="85" s="1"/>
  <c r="G30" i="85"/>
  <c r="G31" i="85" s="1"/>
  <c r="G32" i="85" s="1"/>
  <c r="G33" i="85" s="1"/>
  <c r="G35" i="85" s="1"/>
  <c r="H30" i="85"/>
  <c r="J30" i="85"/>
  <c r="J31" i="85" s="1"/>
  <c r="J32" i="85" s="1"/>
  <c r="J33" i="85" s="1"/>
  <c r="J35" i="85" s="1"/>
  <c r="H31" i="67"/>
  <c r="H32" i="67"/>
  <c r="H33" i="67" s="1"/>
  <c r="H35" i="67" s="1"/>
  <c r="C32" i="48"/>
  <c r="C33" i="48" s="1"/>
  <c r="C35" i="48" s="1"/>
  <c r="C31" i="48"/>
  <c r="D36" i="73"/>
  <c r="I31" i="95"/>
  <c r="I32" i="95"/>
  <c r="I33" i="95" s="1"/>
  <c r="I35" i="95" s="1"/>
  <c r="C31" i="95"/>
  <c r="C32" i="95" s="1"/>
  <c r="C33" i="95" s="1"/>
  <c r="C35" i="95" s="1"/>
  <c r="C36" i="95" s="1"/>
  <c r="D31" i="83"/>
  <c r="D32" i="83" s="1"/>
  <c r="D33" i="83" s="1"/>
  <c r="D35" i="83" s="1"/>
  <c r="D36" i="83" s="1"/>
  <c r="L31" i="81"/>
  <c r="L32" i="81" s="1"/>
  <c r="L33" i="81" s="1"/>
  <c r="L35" i="81" s="1"/>
  <c r="K31" i="81"/>
  <c r="K32" i="81" s="1"/>
  <c r="K33" i="81" s="1"/>
  <c r="K35" i="81" s="1"/>
  <c r="H31" i="117"/>
  <c r="H32" i="117" s="1"/>
  <c r="H33" i="117" s="1"/>
  <c r="H35" i="117" s="1"/>
  <c r="E36" i="63"/>
  <c r="T95" i="29"/>
  <c r="T94" i="29"/>
  <c r="X95" i="29"/>
  <c r="E41" i="141"/>
  <c r="R94" i="29"/>
  <c r="F41" i="142"/>
  <c r="F41" i="141"/>
  <c r="Q36" i="138"/>
  <c r="Q41" i="138" s="1"/>
  <c r="Q36" i="139"/>
  <c r="Q41" i="139" s="1"/>
  <c r="Q36" i="140"/>
  <c r="Q41" i="140" s="1"/>
  <c r="P31" i="137"/>
  <c r="Q31" i="137" s="1"/>
  <c r="AI90" i="29"/>
  <c r="AA90" i="29"/>
  <c r="Q90" i="29"/>
  <c r="Q18" i="137"/>
  <c r="P18" i="137" s="1"/>
  <c r="Q17" i="137"/>
  <c r="P17" i="137" s="1"/>
  <c r="O17" i="137"/>
  <c r="Q16" i="137"/>
  <c r="P16" i="137" s="1"/>
  <c r="Q15" i="137"/>
  <c r="P15" i="137" s="1"/>
  <c r="O15" i="137"/>
  <c r="Q14" i="137"/>
  <c r="P14" i="137" s="1"/>
  <c r="Q13" i="137"/>
  <c r="P13" i="137" s="1"/>
  <c r="O13" i="137"/>
  <c r="D27" i="136"/>
  <c r="E27" i="136" s="1"/>
  <c r="F27" i="136" s="1"/>
  <c r="G27" i="136" s="1"/>
  <c r="H27" i="136" s="1"/>
  <c r="I27" i="136" s="1"/>
  <c r="J27" i="136" s="1"/>
  <c r="K27" i="136" s="1"/>
  <c r="L27" i="136" s="1"/>
  <c r="M27" i="136" s="1"/>
  <c r="N27" i="136" s="1"/>
  <c r="O27" i="136" s="1"/>
  <c r="P27" i="136" s="1"/>
  <c r="Q27" i="136" s="1"/>
  <c r="O21" i="136"/>
  <c r="N17" i="136"/>
  <c r="AK89" i="29" s="1"/>
  <c r="M17" i="136"/>
  <c r="AI89" i="29" s="1"/>
  <c r="L17" i="136"/>
  <c r="AG89" i="29" s="1"/>
  <c r="K17" i="136"/>
  <c r="J17" i="136"/>
  <c r="AC89" i="29" s="1"/>
  <c r="I17" i="136"/>
  <c r="AA89" i="29" s="1"/>
  <c r="H17" i="136"/>
  <c r="Y89" i="29" s="1"/>
  <c r="G17" i="136"/>
  <c r="F17" i="136"/>
  <c r="S89" i="29" s="1"/>
  <c r="E17" i="136"/>
  <c r="Q89" i="29" s="1"/>
  <c r="D17" i="136"/>
  <c r="O89" i="29" s="1"/>
  <c r="C17" i="136"/>
  <c r="Q14" i="136"/>
  <c r="P14" i="136" s="1"/>
  <c r="Q13" i="136"/>
  <c r="P13" i="136" s="1"/>
  <c r="O13" i="136"/>
  <c r="Q12" i="136"/>
  <c r="P12" i="136" s="1"/>
  <c r="Q11" i="136"/>
  <c r="P11" i="136" s="1"/>
  <c r="O11" i="136"/>
  <c r="Q10" i="136"/>
  <c r="P10" i="136" s="1"/>
  <c r="Q9" i="136"/>
  <c r="O9" i="136"/>
  <c r="P31" i="135"/>
  <c r="Q31" i="135" s="1"/>
  <c r="AI88" i="29"/>
  <c r="AE88" i="29"/>
  <c r="AA88" i="29"/>
  <c r="Q88" i="29"/>
  <c r="Q18" i="135"/>
  <c r="P18" i="135" s="1"/>
  <c r="Q17" i="135"/>
  <c r="P17" i="135" s="1"/>
  <c r="O17" i="135"/>
  <c r="Q16" i="135"/>
  <c r="P16" i="135" s="1"/>
  <c r="Q15" i="135"/>
  <c r="P15" i="135" s="1"/>
  <c r="O15" i="135"/>
  <c r="Q14" i="135"/>
  <c r="P14" i="135" s="1"/>
  <c r="P13" i="135"/>
  <c r="O13" i="135"/>
  <c r="P31" i="134"/>
  <c r="Q31" i="134" s="1"/>
  <c r="AI87" i="29"/>
  <c r="AA87" i="29"/>
  <c r="W87" i="29"/>
  <c r="Q87" i="29"/>
  <c r="M87" i="29"/>
  <c r="Q18" i="134"/>
  <c r="P18" i="134" s="1"/>
  <c r="Q17" i="134"/>
  <c r="P17" i="134" s="1"/>
  <c r="O17" i="134"/>
  <c r="Q16" i="134"/>
  <c r="P16" i="134" s="1"/>
  <c r="Q15" i="134"/>
  <c r="P15" i="134" s="1"/>
  <c r="O15" i="134"/>
  <c r="Q14" i="134"/>
  <c r="P14" i="134" s="1"/>
  <c r="P13" i="134"/>
  <c r="O13" i="134"/>
  <c r="D27" i="133"/>
  <c r="E27" i="133" s="1"/>
  <c r="F27" i="133" s="1"/>
  <c r="G27" i="133" s="1"/>
  <c r="H27" i="133" s="1"/>
  <c r="I27" i="133" s="1"/>
  <c r="J27" i="133" s="1"/>
  <c r="K27" i="133" s="1"/>
  <c r="L27" i="133" s="1"/>
  <c r="M27" i="133" s="1"/>
  <c r="N27" i="133" s="1"/>
  <c r="O27" i="133" s="1"/>
  <c r="P27" i="133" s="1"/>
  <c r="Q27" i="133" s="1"/>
  <c r="O21" i="133"/>
  <c r="N17" i="133"/>
  <c r="AK86" i="29" s="1"/>
  <c r="M17" i="133"/>
  <c r="AI86" i="29" s="1"/>
  <c r="L17" i="133"/>
  <c r="AG86" i="29" s="1"/>
  <c r="K17" i="133"/>
  <c r="J17" i="133"/>
  <c r="AC86" i="29" s="1"/>
  <c r="I17" i="133"/>
  <c r="AA86" i="29" s="1"/>
  <c r="H17" i="133"/>
  <c r="Y86" i="29" s="1"/>
  <c r="G17" i="133"/>
  <c r="F17" i="133"/>
  <c r="S86" i="29" s="1"/>
  <c r="E17" i="133"/>
  <c r="Q86" i="29" s="1"/>
  <c r="D17" i="133"/>
  <c r="O86" i="29" s="1"/>
  <c r="C17" i="133"/>
  <c r="Q14" i="133"/>
  <c r="P14" i="133" s="1"/>
  <c r="Q13" i="133"/>
  <c r="P13" i="133" s="1"/>
  <c r="O13" i="133"/>
  <c r="Q12" i="133"/>
  <c r="P12" i="133" s="1"/>
  <c r="Q11" i="133"/>
  <c r="P11" i="133" s="1"/>
  <c r="O11" i="133"/>
  <c r="Q10" i="133"/>
  <c r="P10" i="133" s="1"/>
  <c r="Q9" i="133"/>
  <c r="O9" i="133"/>
  <c r="AK85" i="29"/>
  <c r="AI85" i="29"/>
  <c r="AG85" i="29"/>
  <c r="AE85" i="29"/>
  <c r="AC85" i="29"/>
  <c r="AA85" i="29"/>
  <c r="Y85" i="29"/>
  <c r="W85" i="29"/>
  <c r="S85" i="29"/>
  <c r="Q85" i="29"/>
  <c r="O85" i="29"/>
  <c r="M85" i="29"/>
  <c r="Q18" i="132"/>
  <c r="P18" i="132" s="1"/>
  <c r="Q17" i="132"/>
  <c r="P17" i="132" s="1"/>
  <c r="O17" i="132"/>
  <c r="Q16" i="132"/>
  <c r="P16" i="132" s="1"/>
  <c r="Q15" i="132"/>
  <c r="P15" i="132" s="1"/>
  <c r="O15" i="132"/>
  <c r="Q14" i="132"/>
  <c r="P14" i="132" s="1"/>
  <c r="O13" i="132"/>
  <c r="D27" i="131"/>
  <c r="E27" i="131" s="1"/>
  <c r="F27" i="131" s="1"/>
  <c r="G27" i="131" s="1"/>
  <c r="H27" i="131" s="1"/>
  <c r="I27" i="131" s="1"/>
  <c r="J27" i="131" s="1"/>
  <c r="K27" i="131" s="1"/>
  <c r="L27" i="131" s="1"/>
  <c r="M27" i="131" s="1"/>
  <c r="N27" i="131" s="1"/>
  <c r="O27" i="131" s="1"/>
  <c r="P27" i="131" s="1"/>
  <c r="Q27" i="131" s="1"/>
  <c r="O21" i="131"/>
  <c r="N17" i="131"/>
  <c r="M17" i="131"/>
  <c r="AI84" i="29" s="1"/>
  <c r="L17" i="131"/>
  <c r="K17" i="131"/>
  <c r="J17" i="131"/>
  <c r="I17" i="131"/>
  <c r="AA84" i="29" s="1"/>
  <c r="H17" i="131"/>
  <c r="G17" i="131"/>
  <c r="F17" i="131"/>
  <c r="E17" i="131"/>
  <c r="Q84" i="29" s="1"/>
  <c r="D17" i="131"/>
  <c r="C17" i="131"/>
  <c r="M84" i="29" s="1"/>
  <c r="Q14" i="131"/>
  <c r="P14" i="131" s="1"/>
  <c r="Q13" i="131"/>
  <c r="P13" i="131" s="1"/>
  <c r="Q12" i="131"/>
  <c r="P12" i="131" s="1"/>
  <c r="Q11" i="131"/>
  <c r="P11" i="131" s="1"/>
  <c r="Q10" i="131"/>
  <c r="P10" i="131" s="1"/>
  <c r="Q9" i="131"/>
  <c r="P9" i="131" s="1"/>
  <c r="P37" i="139" l="1"/>
  <c r="V92" i="29" s="1"/>
  <c r="P37" i="138"/>
  <c r="V91" i="29" s="1"/>
  <c r="Z94" i="29"/>
  <c r="G41" i="141"/>
  <c r="E36" i="95"/>
  <c r="F36" i="95" s="1"/>
  <c r="D36" i="95"/>
  <c r="G36" i="63"/>
  <c r="D36" i="67"/>
  <c r="H36" i="63"/>
  <c r="F36" i="56"/>
  <c r="E36" i="60"/>
  <c r="D36" i="60"/>
  <c r="G36" i="60" s="1"/>
  <c r="F36" i="60"/>
  <c r="F36" i="86"/>
  <c r="G36" i="86" s="1"/>
  <c r="H32" i="85"/>
  <c r="H33" i="85" s="1"/>
  <c r="H35" i="85" s="1"/>
  <c r="H31" i="85"/>
  <c r="M31" i="102"/>
  <c r="M32" i="102" s="1"/>
  <c r="M33" i="102" s="1"/>
  <c r="M35" i="102" s="1"/>
  <c r="J31" i="102"/>
  <c r="J32" i="102" s="1"/>
  <c r="J33" i="102" s="1"/>
  <c r="J35" i="102" s="1"/>
  <c r="I31" i="102"/>
  <c r="I32" i="102"/>
  <c r="I33" i="102" s="1"/>
  <c r="I35" i="102" s="1"/>
  <c r="G31" i="66"/>
  <c r="G32" i="66" s="1"/>
  <c r="G33" i="66" s="1"/>
  <c r="G35" i="66" s="1"/>
  <c r="K31" i="66"/>
  <c r="K32" i="66" s="1"/>
  <c r="K33" i="66" s="1"/>
  <c r="K35" i="66" s="1"/>
  <c r="E36" i="73"/>
  <c r="K31" i="96"/>
  <c r="K32" i="96" s="1"/>
  <c r="K33" i="96" s="1"/>
  <c r="K35" i="96" s="1"/>
  <c r="J31" i="96"/>
  <c r="J32" i="96" s="1"/>
  <c r="J33" i="96" s="1"/>
  <c r="J35" i="96" s="1"/>
  <c r="J32" i="54"/>
  <c r="J33" i="54" s="1"/>
  <c r="J35" i="54" s="1"/>
  <c r="J31" i="54"/>
  <c r="F36" i="63"/>
  <c r="K31" i="55"/>
  <c r="K32" i="55" s="1"/>
  <c r="K33" i="55" s="1"/>
  <c r="K35" i="55" s="1"/>
  <c r="N32" i="85"/>
  <c r="N33" i="85" s="1"/>
  <c r="N35" i="85" s="1"/>
  <c r="N31" i="85"/>
  <c r="C31" i="85"/>
  <c r="C32" i="85"/>
  <c r="C33" i="85" s="1"/>
  <c r="C35" i="85" s="1"/>
  <c r="C36" i="85" s="1"/>
  <c r="D36" i="85" s="1"/>
  <c r="N31" i="102"/>
  <c r="N32" i="102" s="1"/>
  <c r="N33" i="102" s="1"/>
  <c r="N35" i="102" s="1"/>
  <c r="K31" i="61"/>
  <c r="K32" i="61" s="1"/>
  <c r="K33" i="61" s="1"/>
  <c r="K35" i="61" s="1"/>
  <c r="H31" i="66"/>
  <c r="H32" i="66" s="1"/>
  <c r="H33" i="66" s="1"/>
  <c r="H35" i="66" s="1"/>
  <c r="L31" i="66"/>
  <c r="L32" i="66"/>
  <c r="L33" i="66" s="1"/>
  <c r="L35" i="66" s="1"/>
  <c r="N31" i="96"/>
  <c r="N32" i="96" s="1"/>
  <c r="N33" i="96" s="1"/>
  <c r="N35" i="96" s="1"/>
  <c r="E36" i="81"/>
  <c r="G36" i="56"/>
  <c r="I32" i="54"/>
  <c r="I33" i="54" s="1"/>
  <c r="I35" i="54" s="1"/>
  <c r="I31" i="54"/>
  <c r="F31" i="54"/>
  <c r="F32" i="54" s="1"/>
  <c r="F33" i="54" s="1"/>
  <c r="F35" i="54" s="1"/>
  <c r="C31" i="55"/>
  <c r="C32" i="55" s="1"/>
  <c r="C33" i="55" s="1"/>
  <c r="C35" i="55" s="1"/>
  <c r="C36" i="55" s="1"/>
  <c r="G31" i="55"/>
  <c r="G32" i="55"/>
  <c r="G33" i="55" s="1"/>
  <c r="G35" i="55" s="1"/>
  <c r="K31" i="85"/>
  <c r="K32" i="85" s="1"/>
  <c r="K33" i="85" s="1"/>
  <c r="K35" i="85" s="1"/>
  <c r="F31" i="102"/>
  <c r="F32" i="102" s="1"/>
  <c r="F33" i="102" s="1"/>
  <c r="F35" i="102" s="1"/>
  <c r="D31" i="102"/>
  <c r="D32" i="102" s="1"/>
  <c r="D33" i="102" s="1"/>
  <c r="D35" i="102" s="1"/>
  <c r="D36" i="102" s="1"/>
  <c r="G31" i="61"/>
  <c r="G32" i="61"/>
  <c r="G33" i="61" s="1"/>
  <c r="G35" i="61" s="1"/>
  <c r="C31" i="66"/>
  <c r="C32" i="66" s="1"/>
  <c r="C33" i="66" s="1"/>
  <c r="C35" i="66" s="1"/>
  <c r="C36" i="66" s="1"/>
  <c r="E36" i="117"/>
  <c r="G31" i="96"/>
  <c r="G32" i="96" s="1"/>
  <c r="G33" i="96" s="1"/>
  <c r="G35" i="96" s="1"/>
  <c r="C31" i="96"/>
  <c r="C32" i="96" s="1"/>
  <c r="C33" i="96" s="1"/>
  <c r="C35" i="96" s="1"/>
  <c r="C36" i="96" s="1"/>
  <c r="M31" i="54"/>
  <c r="M32" i="54" s="1"/>
  <c r="M33" i="54" s="1"/>
  <c r="M35" i="54" s="1"/>
  <c r="E31" i="85"/>
  <c r="E32" i="85" s="1"/>
  <c r="E33" i="85" s="1"/>
  <c r="E35" i="85" s="1"/>
  <c r="E36" i="85" s="1"/>
  <c r="L32" i="85"/>
  <c r="L33" i="85" s="1"/>
  <c r="L35" i="85" s="1"/>
  <c r="L31" i="85"/>
  <c r="H31" i="102"/>
  <c r="H32" i="102" s="1"/>
  <c r="H33" i="102" s="1"/>
  <c r="H35" i="102" s="1"/>
  <c r="E32" i="102"/>
  <c r="E33" i="102" s="1"/>
  <c r="E35" i="102" s="1"/>
  <c r="E31" i="102"/>
  <c r="L31" i="102"/>
  <c r="L32" i="102" s="1"/>
  <c r="L33" i="102" s="1"/>
  <c r="L35" i="102" s="1"/>
  <c r="C32" i="61"/>
  <c r="C33" i="61" s="1"/>
  <c r="C35" i="61" s="1"/>
  <c r="C36" i="61" s="1"/>
  <c r="C31" i="61"/>
  <c r="I32" i="96"/>
  <c r="I33" i="96" s="1"/>
  <c r="I35" i="96" s="1"/>
  <c r="I31" i="96"/>
  <c r="H31" i="96"/>
  <c r="H32" i="96" s="1"/>
  <c r="H33" i="96" s="1"/>
  <c r="H35" i="96" s="1"/>
  <c r="E31" i="54"/>
  <c r="E32" i="54" s="1"/>
  <c r="E33" i="54" s="1"/>
  <c r="E35" i="54" s="1"/>
  <c r="E36" i="54" s="1"/>
  <c r="N31" i="54"/>
  <c r="N32" i="54" s="1"/>
  <c r="N33" i="54" s="1"/>
  <c r="N35" i="54" s="1"/>
  <c r="E36" i="83"/>
  <c r="H41" i="141"/>
  <c r="G41" i="142"/>
  <c r="M41" i="144"/>
  <c r="N41" i="144"/>
  <c r="P39" i="138"/>
  <c r="P39" i="140"/>
  <c r="AB94" i="29"/>
  <c r="C41" i="139"/>
  <c r="N91" i="29"/>
  <c r="P39" i="139"/>
  <c r="O19" i="134"/>
  <c r="F19" i="131"/>
  <c r="F22" i="131" s="1"/>
  <c r="F24" i="131" s="1"/>
  <c r="S84" i="29"/>
  <c r="S87" i="29"/>
  <c r="Y87" i="29"/>
  <c r="H19" i="131"/>
  <c r="H22" i="131" s="1"/>
  <c r="H24" i="131" s="1"/>
  <c r="Y84" i="29"/>
  <c r="G19" i="133"/>
  <c r="G22" i="133" s="1"/>
  <c r="G24" i="133" s="1"/>
  <c r="W86" i="29"/>
  <c r="K19" i="133"/>
  <c r="K22" i="133" s="1"/>
  <c r="K24" i="133" s="1"/>
  <c r="AE86" i="29"/>
  <c r="Y88" i="29"/>
  <c r="O90" i="29"/>
  <c r="AG90" i="29"/>
  <c r="D19" i="131"/>
  <c r="D22" i="131" s="1"/>
  <c r="D24" i="131" s="1"/>
  <c r="O84" i="29"/>
  <c r="J19" i="131"/>
  <c r="J22" i="131" s="1"/>
  <c r="J24" i="131" s="1"/>
  <c r="AC84" i="29"/>
  <c r="L19" i="131"/>
  <c r="L22" i="131" s="1"/>
  <c r="L24" i="131" s="1"/>
  <c r="AG84" i="29"/>
  <c r="N19" i="131"/>
  <c r="N22" i="131" s="1"/>
  <c r="N24" i="131" s="1"/>
  <c r="AK84" i="29"/>
  <c r="O87" i="29"/>
  <c r="AC87" i="29"/>
  <c r="AG87" i="29"/>
  <c r="AK87" i="29"/>
  <c r="O88" i="29"/>
  <c r="S88" i="29"/>
  <c r="AC88" i="29"/>
  <c r="AG88" i="29"/>
  <c r="AK88" i="29"/>
  <c r="C19" i="136"/>
  <c r="C22" i="136" s="1"/>
  <c r="C24" i="136" s="1"/>
  <c r="M89" i="29"/>
  <c r="G19" i="136"/>
  <c r="G22" i="136" s="1"/>
  <c r="G24" i="136" s="1"/>
  <c r="W89" i="29"/>
  <c r="K19" i="136"/>
  <c r="K22" i="136" s="1"/>
  <c r="K24" i="136" s="1"/>
  <c r="AE89" i="29"/>
  <c r="M90" i="29"/>
  <c r="W90" i="29"/>
  <c r="AE90" i="29"/>
  <c r="G19" i="131"/>
  <c r="G22" i="131" s="1"/>
  <c r="G24" i="131" s="1"/>
  <c r="W84" i="29"/>
  <c r="K19" i="131"/>
  <c r="K22" i="131" s="1"/>
  <c r="K24" i="131" s="1"/>
  <c r="AE84" i="29"/>
  <c r="O19" i="132"/>
  <c r="O21" i="132" s="1"/>
  <c r="O28" i="132" s="1"/>
  <c r="O30" i="132" s="1"/>
  <c r="O15" i="133"/>
  <c r="O17" i="133" s="1"/>
  <c r="C19" i="133"/>
  <c r="C22" i="133" s="1"/>
  <c r="C24" i="133" s="1"/>
  <c r="M86" i="29"/>
  <c r="AE87" i="29"/>
  <c r="M88" i="29"/>
  <c r="W88" i="29"/>
  <c r="S90" i="29"/>
  <c r="Y90" i="29"/>
  <c r="AC90" i="29"/>
  <c r="AK90" i="29"/>
  <c r="P15" i="131"/>
  <c r="P17" i="131" s="1"/>
  <c r="O17" i="131"/>
  <c r="O15" i="136"/>
  <c r="O17" i="136" s="1"/>
  <c r="O19" i="137"/>
  <c r="O19" i="135"/>
  <c r="P19" i="137"/>
  <c r="P21" i="137" s="1"/>
  <c r="Q15" i="131"/>
  <c r="Q17" i="131" s="1"/>
  <c r="Q19" i="131" s="1"/>
  <c r="Q22" i="131" s="1"/>
  <c r="Q24" i="131" s="1"/>
  <c r="Q26" i="131" s="1"/>
  <c r="Q28" i="131" s="1"/>
  <c r="Q29" i="131" s="1"/>
  <c r="Q31" i="131" s="1"/>
  <c r="Q32" i="131" s="1"/>
  <c r="Q19" i="132"/>
  <c r="Q21" i="132" s="1"/>
  <c r="Q23" i="132" s="1"/>
  <c r="Q26" i="132" s="1"/>
  <c r="Q28" i="132" s="1"/>
  <c r="Q30" i="132" s="1"/>
  <c r="P19" i="135"/>
  <c r="P21" i="135" s="1"/>
  <c r="P23" i="135" s="1"/>
  <c r="P26" i="135" s="1"/>
  <c r="P28" i="135" s="1"/>
  <c r="P30" i="135" s="1"/>
  <c r="P32" i="135" s="1"/>
  <c r="P23" i="137"/>
  <c r="P26" i="137" s="1"/>
  <c r="Q19" i="137"/>
  <c r="Q21" i="137" s="1"/>
  <c r="Q15" i="136"/>
  <c r="Q17" i="136" s="1"/>
  <c r="P9" i="136"/>
  <c r="P15" i="136" s="1"/>
  <c r="P17" i="136" s="1"/>
  <c r="E19" i="136"/>
  <c r="E22" i="136" s="1"/>
  <c r="E24" i="136" s="1"/>
  <c r="I19" i="136"/>
  <c r="I22" i="136" s="1"/>
  <c r="I24" i="136" s="1"/>
  <c r="M19" i="136"/>
  <c r="M22" i="136" s="1"/>
  <c r="M24" i="136" s="1"/>
  <c r="D19" i="136"/>
  <c r="D22" i="136" s="1"/>
  <c r="D24" i="136" s="1"/>
  <c r="F19" i="136"/>
  <c r="F22" i="136" s="1"/>
  <c r="F24" i="136" s="1"/>
  <c r="H19" i="136"/>
  <c r="H22" i="136" s="1"/>
  <c r="H24" i="136" s="1"/>
  <c r="J19" i="136"/>
  <c r="J22" i="136" s="1"/>
  <c r="J24" i="136" s="1"/>
  <c r="L19" i="136"/>
  <c r="L22" i="136" s="1"/>
  <c r="L24" i="136" s="1"/>
  <c r="N19" i="136"/>
  <c r="N22" i="136" s="1"/>
  <c r="N24" i="136" s="1"/>
  <c r="Q19" i="135"/>
  <c r="Q21" i="135" s="1"/>
  <c r="P19" i="134"/>
  <c r="P21" i="134" s="1"/>
  <c r="Q19" i="134"/>
  <c r="Q21" i="134" s="1"/>
  <c r="D19" i="133"/>
  <c r="D22" i="133" s="1"/>
  <c r="D24" i="133" s="1"/>
  <c r="F19" i="133"/>
  <c r="F22" i="133" s="1"/>
  <c r="F24" i="133" s="1"/>
  <c r="H19" i="133"/>
  <c r="H22" i="133" s="1"/>
  <c r="H24" i="133" s="1"/>
  <c r="J19" i="133"/>
  <c r="J22" i="133" s="1"/>
  <c r="J24" i="133" s="1"/>
  <c r="L19" i="133"/>
  <c r="L22" i="133" s="1"/>
  <c r="L24" i="133" s="1"/>
  <c r="Q15" i="133"/>
  <c r="Q17" i="133" s="1"/>
  <c r="P9" i="133"/>
  <c r="P15" i="133" s="1"/>
  <c r="P17" i="133" s="1"/>
  <c r="E19" i="133"/>
  <c r="E22" i="133" s="1"/>
  <c r="E24" i="133" s="1"/>
  <c r="I19" i="133"/>
  <c r="I22" i="133" s="1"/>
  <c r="I24" i="133" s="1"/>
  <c r="M19" i="133"/>
  <c r="M22" i="133" s="1"/>
  <c r="M24" i="133" s="1"/>
  <c r="N19" i="133"/>
  <c r="N22" i="133" s="1"/>
  <c r="N24" i="133" s="1"/>
  <c r="P13" i="132"/>
  <c r="P19" i="132" s="1"/>
  <c r="P21" i="132" s="1"/>
  <c r="C19" i="131"/>
  <c r="E19" i="131"/>
  <c r="E22" i="131" s="1"/>
  <c r="E24" i="131" s="1"/>
  <c r="I19" i="131"/>
  <c r="I22" i="131" s="1"/>
  <c r="I24" i="131" s="1"/>
  <c r="M19" i="131"/>
  <c r="M22" i="131" s="1"/>
  <c r="M24" i="131" s="1"/>
  <c r="P33" i="135" l="1"/>
  <c r="P35" i="135" s="1"/>
  <c r="P36" i="135" s="1"/>
  <c r="P41" i="135" s="1"/>
  <c r="O31" i="132"/>
  <c r="P31" i="132" s="1"/>
  <c r="Q31" i="132" s="1"/>
  <c r="Q32" i="132" s="1"/>
  <c r="Q33" i="132" s="1"/>
  <c r="Q35" i="132" s="1"/>
  <c r="Q36" i="132" s="1"/>
  <c r="Q41" i="132" s="1"/>
  <c r="F36" i="67"/>
  <c r="G36" i="83"/>
  <c r="H36" i="83" s="1"/>
  <c r="F36" i="54"/>
  <c r="G36" i="54" s="1"/>
  <c r="D36" i="96"/>
  <c r="E36" i="96"/>
  <c r="F36" i="96" s="1"/>
  <c r="D36" i="66"/>
  <c r="F36" i="55"/>
  <c r="D36" i="55"/>
  <c r="E36" i="55"/>
  <c r="H36" i="60"/>
  <c r="I36" i="60" s="1"/>
  <c r="J36" i="60" s="1"/>
  <c r="K36" i="60" s="1"/>
  <c r="L36" i="60" s="1"/>
  <c r="M36" i="60" s="1"/>
  <c r="N36" i="60" s="1"/>
  <c r="O36" i="60" s="1"/>
  <c r="K36" i="95"/>
  <c r="L36" i="95" s="1"/>
  <c r="M36" i="95" s="1"/>
  <c r="N36" i="95" s="1"/>
  <c r="O36" i="95" s="1"/>
  <c r="G36" i="85"/>
  <c r="F36" i="73"/>
  <c r="H36" i="85"/>
  <c r="G36" i="73"/>
  <c r="F36" i="81"/>
  <c r="G36" i="95"/>
  <c r="H36" i="95" s="1"/>
  <c r="I36" i="85"/>
  <c r="F36" i="117"/>
  <c r="H36" i="56"/>
  <c r="I36" i="56" s="1"/>
  <c r="D36" i="61"/>
  <c r="I36" i="63"/>
  <c r="J36" i="63" s="1"/>
  <c r="K36" i="63" s="1"/>
  <c r="L36" i="63" s="1"/>
  <c r="M36" i="63" s="1"/>
  <c r="N36" i="63" s="1"/>
  <c r="O36" i="63" s="1"/>
  <c r="F36" i="85"/>
  <c r="I36" i="95"/>
  <c r="J36" i="95" s="1"/>
  <c r="H36" i="86"/>
  <c r="F36" i="83"/>
  <c r="I36" i="83" s="1"/>
  <c r="J36" i="83" s="1"/>
  <c r="K36" i="83" s="1"/>
  <c r="L36" i="83" s="1"/>
  <c r="M36" i="83" s="1"/>
  <c r="N36" i="83" s="1"/>
  <c r="O36" i="83" s="1"/>
  <c r="E36" i="67"/>
  <c r="E36" i="102"/>
  <c r="G36" i="81"/>
  <c r="I41" i="142"/>
  <c r="AB95" i="29"/>
  <c r="H41" i="142"/>
  <c r="Z95" i="29"/>
  <c r="O41" i="144"/>
  <c r="C41" i="138"/>
  <c r="I41" i="141"/>
  <c r="AD94" i="29"/>
  <c r="C41" i="140"/>
  <c r="P93" i="29"/>
  <c r="P19" i="131"/>
  <c r="P22" i="131" s="1"/>
  <c r="P24" i="131" s="1"/>
  <c r="P26" i="131" s="1"/>
  <c r="P28" i="131" s="1"/>
  <c r="P29" i="131" s="1"/>
  <c r="P31" i="131" s="1"/>
  <c r="P32" i="131" s="1"/>
  <c r="P28" i="137"/>
  <c r="P30" i="137" s="1"/>
  <c r="P32" i="137" s="1"/>
  <c r="P33" i="137" s="1"/>
  <c r="P35" i="137" s="1"/>
  <c r="Q37" i="131"/>
  <c r="Q23" i="137"/>
  <c r="Q26" i="137" s="1"/>
  <c r="Q28" i="137" s="1"/>
  <c r="Q30" i="137" s="1"/>
  <c r="Q32" i="137" s="1"/>
  <c r="Q33" i="137" s="1"/>
  <c r="Q35" i="137" s="1"/>
  <c r="Q36" i="137" s="1"/>
  <c r="P19" i="136"/>
  <c r="P22" i="136" s="1"/>
  <c r="P24" i="136" s="1"/>
  <c r="P26" i="136" s="1"/>
  <c r="P28" i="136" s="1"/>
  <c r="P29" i="136" s="1"/>
  <c r="P31" i="136" s="1"/>
  <c r="P32" i="136" s="1"/>
  <c r="O19" i="136"/>
  <c r="O22" i="136" s="1"/>
  <c r="O24" i="136" s="1"/>
  <c r="O26" i="136" s="1"/>
  <c r="O28" i="136" s="1"/>
  <c r="O29" i="136" s="1"/>
  <c r="O31" i="136" s="1"/>
  <c r="M26" i="136"/>
  <c r="M28" i="136" s="1"/>
  <c r="M29" i="136" s="1"/>
  <c r="M31" i="136" s="1"/>
  <c r="K26" i="136"/>
  <c r="K28" i="136" s="1"/>
  <c r="K29" i="136" s="1"/>
  <c r="K31" i="136" s="1"/>
  <c r="I26" i="136"/>
  <c r="I28" i="136" s="1"/>
  <c r="I29" i="136" s="1"/>
  <c r="I31" i="136" s="1"/>
  <c r="G26" i="136"/>
  <c r="G28" i="136" s="1"/>
  <c r="G29" i="136" s="1"/>
  <c r="G31" i="136" s="1"/>
  <c r="E26" i="136"/>
  <c r="E28" i="136" s="1"/>
  <c r="E29" i="136" s="1"/>
  <c r="E31" i="136" s="1"/>
  <c r="C26" i="136"/>
  <c r="C28" i="136" s="1"/>
  <c r="C29" i="136" s="1"/>
  <c r="C31" i="136" s="1"/>
  <c r="C32" i="136" s="1"/>
  <c r="L26" i="136"/>
  <c r="L28" i="136" s="1"/>
  <c r="L29" i="136" s="1"/>
  <c r="L31" i="136" s="1"/>
  <c r="H26" i="136"/>
  <c r="H28" i="136" s="1"/>
  <c r="H29" i="136" s="1"/>
  <c r="H31" i="136" s="1"/>
  <c r="D26" i="136"/>
  <c r="D28" i="136" s="1"/>
  <c r="D29" i="136" s="1"/>
  <c r="D31" i="136" s="1"/>
  <c r="N26" i="136"/>
  <c r="N28" i="136" s="1"/>
  <c r="N29" i="136" s="1"/>
  <c r="N31" i="136" s="1"/>
  <c r="J26" i="136"/>
  <c r="J28" i="136" s="1"/>
  <c r="J29" i="136" s="1"/>
  <c r="J31" i="136" s="1"/>
  <c r="F26" i="136"/>
  <c r="F28" i="136" s="1"/>
  <c r="F29" i="136" s="1"/>
  <c r="F31" i="136" s="1"/>
  <c r="Q19" i="136"/>
  <c r="Q22" i="136" s="1"/>
  <c r="Q24" i="136" s="1"/>
  <c r="Q26" i="136" s="1"/>
  <c r="Q28" i="136" s="1"/>
  <c r="Q29" i="136" s="1"/>
  <c r="Q31" i="136" s="1"/>
  <c r="Q32" i="136" s="1"/>
  <c r="Q23" i="135"/>
  <c r="Q26" i="135" s="1"/>
  <c r="Q28" i="135" s="1"/>
  <c r="Q30" i="135" s="1"/>
  <c r="Q32" i="135" s="1"/>
  <c r="Q23" i="134"/>
  <c r="Q26" i="134" s="1"/>
  <c r="Q28" i="134" s="1"/>
  <c r="Q30" i="134" s="1"/>
  <c r="Q32" i="134" s="1"/>
  <c r="P23" i="134"/>
  <c r="P26" i="134" s="1"/>
  <c r="P28" i="134" s="1"/>
  <c r="P30" i="134" s="1"/>
  <c r="P32" i="134" s="1"/>
  <c r="Q19" i="133"/>
  <c r="Q22" i="133" s="1"/>
  <c r="Q24" i="133" s="1"/>
  <c r="Q26" i="133" s="1"/>
  <c r="Q28" i="133" s="1"/>
  <c r="Q29" i="133" s="1"/>
  <c r="Q31" i="133" s="1"/>
  <c r="Q32" i="133" s="1"/>
  <c r="O19" i="133"/>
  <c r="O22" i="133" s="1"/>
  <c r="O24" i="133" s="1"/>
  <c r="O26" i="133" s="1"/>
  <c r="O28" i="133" s="1"/>
  <c r="O29" i="133" s="1"/>
  <c r="O31" i="133" s="1"/>
  <c r="M26" i="133"/>
  <c r="M28" i="133" s="1"/>
  <c r="M29" i="133" s="1"/>
  <c r="M31" i="133" s="1"/>
  <c r="K26" i="133"/>
  <c r="K28" i="133" s="1"/>
  <c r="K29" i="133" s="1"/>
  <c r="K31" i="133" s="1"/>
  <c r="I26" i="133"/>
  <c r="I28" i="133" s="1"/>
  <c r="I29" i="133" s="1"/>
  <c r="I31" i="133" s="1"/>
  <c r="G26" i="133"/>
  <c r="G28" i="133" s="1"/>
  <c r="G29" i="133" s="1"/>
  <c r="G31" i="133" s="1"/>
  <c r="E26" i="133"/>
  <c r="E28" i="133" s="1"/>
  <c r="E29" i="133" s="1"/>
  <c r="E31" i="133" s="1"/>
  <c r="C26" i="133"/>
  <c r="C28" i="133" s="1"/>
  <c r="C29" i="133" s="1"/>
  <c r="C31" i="133" s="1"/>
  <c r="C32" i="133" s="1"/>
  <c r="L26" i="133"/>
  <c r="L28" i="133" s="1"/>
  <c r="L29" i="133" s="1"/>
  <c r="L31" i="133" s="1"/>
  <c r="H26" i="133"/>
  <c r="H28" i="133" s="1"/>
  <c r="H29" i="133" s="1"/>
  <c r="H31" i="133" s="1"/>
  <c r="D26" i="133"/>
  <c r="D28" i="133" s="1"/>
  <c r="D29" i="133" s="1"/>
  <c r="D31" i="133" s="1"/>
  <c r="N26" i="133"/>
  <c r="N28" i="133" s="1"/>
  <c r="N29" i="133" s="1"/>
  <c r="N31" i="133" s="1"/>
  <c r="J26" i="133"/>
  <c r="J28" i="133" s="1"/>
  <c r="J29" i="133" s="1"/>
  <c r="J31" i="133" s="1"/>
  <c r="F26" i="133"/>
  <c r="F28" i="133" s="1"/>
  <c r="F29" i="133" s="1"/>
  <c r="F31" i="133" s="1"/>
  <c r="P19" i="133"/>
  <c r="P22" i="133" s="1"/>
  <c r="P24" i="133" s="1"/>
  <c r="P26" i="133" s="1"/>
  <c r="P28" i="133" s="1"/>
  <c r="P29" i="133" s="1"/>
  <c r="P31" i="133" s="1"/>
  <c r="P32" i="133" s="1"/>
  <c r="P23" i="132"/>
  <c r="P26" i="132" s="1"/>
  <c r="P28" i="132" s="1"/>
  <c r="P30" i="132" s="1"/>
  <c r="C22" i="131"/>
  <c r="C24" i="131" s="1"/>
  <c r="O19" i="131"/>
  <c r="O22" i="131" s="1"/>
  <c r="O24" i="131" s="1"/>
  <c r="O26" i="131" s="1"/>
  <c r="O28" i="131" s="1"/>
  <c r="O29" i="131" s="1"/>
  <c r="O31" i="131" s="1"/>
  <c r="Q33" i="134" l="1"/>
  <c r="Q35" i="134" s="1"/>
  <c r="Q36" i="134" s="1"/>
  <c r="Q41" i="134" s="1"/>
  <c r="P33" i="134"/>
  <c r="P35" i="134" s="1"/>
  <c r="Q33" i="135"/>
  <c r="Q35" i="135" s="1"/>
  <c r="P32" i="132"/>
  <c r="P33" i="132" s="1"/>
  <c r="P35" i="132" s="1"/>
  <c r="P36" i="132" s="1"/>
  <c r="P41" i="132" s="1"/>
  <c r="O32" i="132"/>
  <c r="O33" i="132" s="1"/>
  <c r="O35" i="132" s="1"/>
  <c r="H36" i="67"/>
  <c r="I36" i="67" s="1"/>
  <c r="J36" i="67" s="1"/>
  <c r="K36" i="67" s="1"/>
  <c r="L36" i="67" s="1"/>
  <c r="M36" i="67" s="1"/>
  <c r="N36" i="67" s="1"/>
  <c r="O36" i="67" s="1"/>
  <c r="J36" i="85"/>
  <c r="K36" i="85" s="1"/>
  <c r="L36" i="85" s="1"/>
  <c r="M36" i="85" s="1"/>
  <c r="N36" i="85" s="1"/>
  <c r="F36" i="102"/>
  <c r="I36" i="86"/>
  <c r="J36" i="86" s="1"/>
  <c r="K36" i="86" s="1"/>
  <c r="G36" i="102"/>
  <c r="H36" i="102" s="1"/>
  <c r="G36" i="96"/>
  <c r="H36" i="96" s="1"/>
  <c r="H36" i="81"/>
  <c r="I36" i="81" s="1"/>
  <c r="J36" i="81" s="1"/>
  <c r="K36" i="81" s="1"/>
  <c r="L36" i="81" s="1"/>
  <c r="M36" i="81" s="1"/>
  <c r="N36" i="81" s="1"/>
  <c r="O36" i="81" s="1"/>
  <c r="E36" i="61"/>
  <c r="H36" i="73"/>
  <c r="G36" i="55"/>
  <c r="H36" i="55" s="1"/>
  <c r="I36" i="55" s="1"/>
  <c r="J36" i="55" s="1"/>
  <c r="K36" i="55" s="1"/>
  <c r="L36" i="55" s="1"/>
  <c r="M36" i="55" s="1"/>
  <c r="O36" i="55" s="1"/>
  <c r="H36" i="54"/>
  <c r="I36" i="54" s="1"/>
  <c r="J36" i="54" s="1"/>
  <c r="G36" i="67"/>
  <c r="J36" i="56"/>
  <c r="G36" i="117"/>
  <c r="H36" i="117" s="1"/>
  <c r="I36" i="117" s="1"/>
  <c r="J36" i="117" s="1"/>
  <c r="K36" i="117" s="1"/>
  <c r="E36" i="66"/>
  <c r="P92" i="29"/>
  <c r="J41" i="142"/>
  <c r="AD95" i="29"/>
  <c r="K41" i="142"/>
  <c r="D32" i="133"/>
  <c r="E32" i="133" s="1"/>
  <c r="F32" i="133" s="1"/>
  <c r="D32" i="136"/>
  <c r="E32" i="136" s="1"/>
  <c r="F32" i="136" s="1"/>
  <c r="P91" i="29"/>
  <c r="J41" i="141"/>
  <c r="N92" i="29"/>
  <c r="D41" i="139"/>
  <c r="P36" i="137"/>
  <c r="P41" i="137" s="1"/>
  <c r="D41" i="138"/>
  <c r="N93" i="29"/>
  <c r="D41" i="140"/>
  <c r="R92" i="29"/>
  <c r="P33" i="131"/>
  <c r="V84" i="29" s="1"/>
  <c r="P37" i="131"/>
  <c r="C41" i="137"/>
  <c r="N90" i="29"/>
  <c r="Q37" i="136"/>
  <c r="C37" i="136"/>
  <c r="N89" i="29"/>
  <c r="C41" i="135"/>
  <c r="N88" i="29"/>
  <c r="C41" i="134"/>
  <c r="N87" i="29"/>
  <c r="C37" i="133"/>
  <c r="N86" i="29"/>
  <c r="Q37" i="133"/>
  <c r="P37" i="137"/>
  <c r="V90" i="29" s="1"/>
  <c r="P33" i="136"/>
  <c r="V89" i="29" s="1"/>
  <c r="P37" i="136"/>
  <c r="P33" i="133"/>
  <c r="V86" i="29" s="1"/>
  <c r="P37" i="133"/>
  <c r="P35" i="131"/>
  <c r="N26" i="131"/>
  <c r="N28" i="131" s="1"/>
  <c r="N29" i="131" s="1"/>
  <c r="N31" i="131" s="1"/>
  <c r="L26" i="131"/>
  <c r="L28" i="131" s="1"/>
  <c r="L29" i="131" s="1"/>
  <c r="L31" i="131" s="1"/>
  <c r="J26" i="131"/>
  <c r="J28" i="131" s="1"/>
  <c r="J29" i="131" s="1"/>
  <c r="J31" i="131" s="1"/>
  <c r="H26" i="131"/>
  <c r="H28" i="131" s="1"/>
  <c r="H29" i="131" s="1"/>
  <c r="H31" i="131" s="1"/>
  <c r="F26" i="131"/>
  <c r="F28" i="131" s="1"/>
  <c r="F29" i="131" s="1"/>
  <c r="F31" i="131" s="1"/>
  <c r="D26" i="131"/>
  <c r="D28" i="131" s="1"/>
  <c r="D29" i="131" s="1"/>
  <c r="D31" i="131" s="1"/>
  <c r="M26" i="131"/>
  <c r="M28" i="131" s="1"/>
  <c r="M29" i="131" s="1"/>
  <c r="M31" i="131" s="1"/>
  <c r="I26" i="131"/>
  <c r="I28" i="131" s="1"/>
  <c r="I29" i="131" s="1"/>
  <c r="I31" i="131" s="1"/>
  <c r="E26" i="131"/>
  <c r="E28" i="131" s="1"/>
  <c r="E29" i="131" s="1"/>
  <c r="E31" i="131" s="1"/>
  <c r="K26" i="131"/>
  <c r="K28" i="131" s="1"/>
  <c r="K29" i="131" s="1"/>
  <c r="K31" i="131" s="1"/>
  <c r="G26" i="131"/>
  <c r="G28" i="131" s="1"/>
  <c r="G29" i="131" s="1"/>
  <c r="G31" i="131" s="1"/>
  <c r="C26" i="131"/>
  <c r="C28" i="131" s="1"/>
  <c r="C29" i="131" s="1"/>
  <c r="C31" i="131" s="1"/>
  <c r="C32" i="131" s="1"/>
  <c r="P36" i="134" l="1"/>
  <c r="P41" i="134" s="1"/>
  <c r="P37" i="134"/>
  <c r="V87" i="29" s="1"/>
  <c r="Q36" i="135"/>
  <c r="P37" i="135"/>
  <c r="V88" i="29" s="1"/>
  <c r="P37" i="132"/>
  <c r="V85" i="29" s="1"/>
  <c r="K36" i="56"/>
  <c r="L36" i="56" s="1"/>
  <c r="M36" i="56" s="1"/>
  <c r="I36" i="102"/>
  <c r="K36" i="102"/>
  <c r="L36" i="102" s="1"/>
  <c r="M36" i="102" s="1"/>
  <c r="N36" i="102" s="1"/>
  <c r="O36" i="102" s="1"/>
  <c r="F36" i="66"/>
  <c r="F36" i="61"/>
  <c r="K36" i="54"/>
  <c r="L36" i="54" s="1"/>
  <c r="M36" i="54" s="1"/>
  <c r="N36" i="54" s="1"/>
  <c r="O36" i="54" s="1"/>
  <c r="J36" i="102"/>
  <c r="G36" i="66"/>
  <c r="I36" i="73"/>
  <c r="J36" i="73" s="1"/>
  <c r="K36" i="73" s="1"/>
  <c r="L36" i="73" s="1"/>
  <c r="M36" i="73" s="1"/>
  <c r="N36" i="73" s="1"/>
  <c r="O36" i="73" s="1"/>
  <c r="I36" i="96"/>
  <c r="J36" i="96"/>
  <c r="K36" i="96" s="1"/>
  <c r="L36" i="96" s="1"/>
  <c r="M36" i="96" s="1"/>
  <c r="L36" i="86"/>
  <c r="L36" i="117"/>
  <c r="M36" i="117" s="1"/>
  <c r="N36" i="117" s="1"/>
  <c r="O36" i="117" s="1"/>
  <c r="H36" i="66"/>
  <c r="I36" i="66" s="1"/>
  <c r="X93" i="29"/>
  <c r="T93" i="29"/>
  <c r="X90" i="29"/>
  <c r="G32" i="136"/>
  <c r="X89" i="29" s="1"/>
  <c r="L41" i="142"/>
  <c r="E41" i="140"/>
  <c r="R93" i="29"/>
  <c r="E41" i="138"/>
  <c r="R91" i="29"/>
  <c r="X87" i="29"/>
  <c r="K41" i="141"/>
  <c r="L41" i="141"/>
  <c r="T92" i="29"/>
  <c r="D32" i="131"/>
  <c r="E32" i="131" s="1"/>
  <c r="E41" i="139"/>
  <c r="H32" i="136"/>
  <c r="G32" i="133"/>
  <c r="X86" i="29" s="1"/>
  <c r="F41" i="140"/>
  <c r="C41" i="132"/>
  <c r="N85" i="29"/>
  <c r="Q41" i="137"/>
  <c r="E41" i="137"/>
  <c r="R90" i="29"/>
  <c r="D41" i="137"/>
  <c r="P90" i="29"/>
  <c r="D37" i="136"/>
  <c r="P89" i="29"/>
  <c r="Q41" i="135"/>
  <c r="D41" i="135"/>
  <c r="P88" i="29"/>
  <c r="D41" i="134"/>
  <c r="P87" i="29"/>
  <c r="E37" i="133"/>
  <c r="R86" i="29"/>
  <c r="D37" i="133"/>
  <c r="P86" i="29"/>
  <c r="C37" i="131"/>
  <c r="N84" i="29"/>
  <c r="R87" i="29"/>
  <c r="P39" i="137"/>
  <c r="P35" i="136"/>
  <c r="P39" i="135"/>
  <c r="P39" i="134"/>
  <c r="T86" i="29"/>
  <c r="P35" i="133"/>
  <c r="M36" i="86" l="1"/>
  <c r="N36" i="86" s="1"/>
  <c r="AH8" i="29"/>
  <c r="P39" i="132"/>
  <c r="Z93" i="29"/>
  <c r="J36" i="66"/>
  <c r="K36" i="66" s="1"/>
  <c r="L36" i="66" s="1"/>
  <c r="M36" i="66" s="1"/>
  <c r="N36" i="66" s="1"/>
  <c r="O36" i="66" s="1"/>
  <c r="G36" i="61"/>
  <c r="N36" i="96"/>
  <c r="O36" i="96" s="1"/>
  <c r="X92" i="29"/>
  <c r="T88" i="29"/>
  <c r="X88" i="29"/>
  <c r="T91" i="29"/>
  <c r="X91" i="29"/>
  <c r="M41" i="142"/>
  <c r="F41" i="138"/>
  <c r="F41" i="139"/>
  <c r="M41" i="141"/>
  <c r="I32" i="136"/>
  <c r="J32" i="136" s="1"/>
  <c r="K32" i="136" s="1"/>
  <c r="L32" i="136" s="1"/>
  <c r="M32" i="136" s="1"/>
  <c r="N32" i="136" s="1"/>
  <c r="O32" i="136" s="1"/>
  <c r="H32" i="133"/>
  <c r="I32" i="133" s="1"/>
  <c r="J32" i="133" s="1"/>
  <c r="F32" i="131"/>
  <c r="G32" i="131" s="1"/>
  <c r="X84" i="29" s="1"/>
  <c r="Z90" i="29"/>
  <c r="G41" i="140"/>
  <c r="G41" i="138"/>
  <c r="D41" i="132"/>
  <c r="P85" i="29"/>
  <c r="F41" i="137"/>
  <c r="T90" i="29"/>
  <c r="E37" i="136"/>
  <c r="R89" i="29"/>
  <c r="T89" i="29"/>
  <c r="E41" i="135"/>
  <c r="R88" i="29"/>
  <c r="E37" i="131"/>
  <c r="R84" i="29"/>
  <c r="D37" i="131"/>
  <c r="P84" i="29"/>
  <c r="E41" i="134"/>
  <c r="T87" i="29"/>
  <c r="F37" i="136"/>
  <c r="F41" i="135"/>
  <c r="F37" i="133"/>
  <c r="AB93" i="29" l="1"/>
  <c r="H41" i="140"/>
  <c r="Z92" i="29"/>
  <c r="H36" i="61"/>
  <c r="I36" i="61"/>
  <c r="J36" i="61" s="1"/>
  <c r="G41" i="139"/>
  <c r="O41" i="142"/>
  <c r="H32" i="131"/>
  <c r="I32" i="131" s="1"/>
  <c r="J32" i="131" s="1"/>
  <c r="N41" i="141"/>
  <c r="Z88" i="29"/>
  <c r="K32" i="133"/>
  <c r="L32" i="133" s="1"/>
  <c r="M32" i="133" s="1"/>
  <c r="X85" i="29"/>
  <c r="I41" i="140"/>
  <c r="G41" i="137"/>
  <c r="E41" i="132"/>
  <c r="R85" i="29"/>
  <c r="F37" i="131"/>
  <c r="T84" i="29"/>
  <c r="G37" i="131"/>
  <c r="F41" i="134"/>
  <c r="H41" i="137"/>
  <c r="G37" i="136"/>
  <c r="Z89" i="29"/>
  <c r="G41" i="135"/>
  <c r="G37" i="133"/>
  <c r="Z86" i="29"/>
  <c r="AD93" i="29" l="1"/>
  <c r="H41" i="139"/>
  <c r="I41" i="139"/>
  <c r="K36" i="61"/>
  <c r="L36" i="61" s="1"/>
  <c r="M36" i="61" s="1"/>
  <c r="N36" i="61" s="1"/>
  <c r="O36" i="61" s="1"/>
  <c r="H41" i="138"/>
  <c r="Z91" i="29"/>
  <c r="N41" i="142"/>
  <c r="H41" i="135"/>
  <c r="K32" i="131"/>
  <c r="L32" i="131" s="1"/>
  <c r="M32" i="131" s="1"/>
  <c r="N32" i="131" s="1"/>
  <c r="O32" i="131" s="1"/>
  <c r="O41" i="141"/>
  <c r="AB90" i="29"/>
  <c r="N32" i="133"/>
  <c r="O32" i="133" s="1"/>
  <c r="J41" i="140"/>
  <c r="F41" i="132"/>
  <c r="T85" i="29"/>
  <c r="G41" i="134"/>
  <c r="Z87" i="29"/>
  <c r="I41" i="137"/>
  <c r="H37" i="136"/>
  <c r="AB89" i="29"/>
  <c r="H37" i="133"/>
  <c r="AB86" i="29"/>
  <c r="H37" i="131"/>
  <c r="AB92" i="29" l="1"/>
  <c r="AB91" i="29"/>
  <c r="I41" i="138"/>
  <c r="I41" i="135"/>
  <c r="AB88" i="29"/>
  <c r="L41" i="140"/>
  <c r="K41" i="140"/>
  <c r="G41" i="132"/>
  <c r="K41" i="137"/>
  <c r="AF90" i="29"/>
  <c r="J41" i="137"/>
  <c r="AD90" i="29"/>
  <c r="J41" i="135"/>
  <c r="AD88" i="29"/>
  <c r="Z84" i="29"/>
  <c r="AB87" i="29"/>
  <c r="H41" i="134"/>
  <c r="AH90" i="29"/>
  <c r="I37" i="136"/>
  <c r="AD89" i="29"/>
  <c r="I37" i="133"/>
  <c r="AD86" i="29"/>
  <c r="L41" i="139" l="1"/>
  <c r="AD92" i="29"/>
  <c r="K41" i="139"/>
  <c r="J41" i="139"/>
  <c r="AD91" i="29"/>
  <c r="J41" i="138"/>
  <c r="AH88" i="29"/>
  <c r="M41" i="139"/>
  <c r="O41" i="139"/>
  <c r="N41" i="139"/>
  <c r="H41" i="132"/>
  <c r="Z85" i="29"/>
  <c r="K41" i="135"/>
  <c r="AF88" i="29"/>
  <c r="I37" i="131"/>
  <c r="AB84" i="29"/>
  <c r="I41" i="134"/>
  <c r="AD87" i="29"/>
  <c r="L41" i="137"/>
  <c r="AJ90" i="29"/>
  <c r="J37" i="136"/>
  <c r="AF89" i="29"/>
  <c r="L41" i="135"/>
  <c r="AJ88" i="29"/>
  <c r="J37" i="133"/>
  <c r="AF86" i="29"/>
  <c r="K41" i="138" l="1"/>
  <c r="M41" i="140"/>
  <c r="N41" i="140"/>
  <c r="I41" i="132"/>
  <c r="AB85" i="29"/>
  <c r="J37" i="131"/>
  <c r="AD84" i="29"/>
  <c r="K37" i="131"/>
  <c r="AF84" i="29"/>
  <c r="J41" i="134"/>
  <c r="M41" i="137"/>
  <c r="K37" i="136"/>
  <c r="AH89" i="29"/>
  <c r="M41" i="135"/>
  <c r="K37" i="133"/>
  <c r="AH86" i="29"/>
  <c r="L41" i="138" l="1"/>
  <c r="AD85" i="29"/>
  <c r="J41" i="132"/>
  <c r="O41" i="140"/>
  <c r="K41" i="132"/>
  <c r="AF85" i="29"/>
  <c r="AH85" i="29"/>
  <c r="L41" i="132"/>
  <c r="N41" i="137"/>
  <c r="AL90" i="29"/>
  <c r="N41" i="135"/>
  <c r="AL88" i="29"/>
  <c r="L41" i="134"/>
  <c r="AH87" i="29"/>
  <c r="K41" i="134"/>
  <c r="AF87" i="29"/>
  <c r="AH84" i="29"/>
  <c r="L37" i="131"/>
  <c r="O41" i="137"/>
  <c r="L37" i="136"/>
  <c r="AJ89" i="29"/>
  <c r="O41" i="135"/>
  <c r="L37" i="133"/>
  <c r="AJ86" i="29"/>
  <c r="M41" i="138" l="1"/>
  <c r="M41" i="132"/>
  <c r="AJ85" i="29"/>
  <c r="O41" i="132"/>
  <c r="M41" i="134"/>
  <c r="AJ87" i="29"/>
  <c r="AL87" i="29"/>
  <c r="M37" i="131"/>
  <c r="AJ84" i="29"/>
  <c r="O37" i="131"/>
  <c r="M37" i="136"/>
  <c r="AL89" i="29"/>
  <c r="M37" i="133"/>
  <c r="AL86" i="29"/>
  <c r="O41" i="138" l="1"/>
  <c r="N41" i="138"/>
  <c r="N41" i="132"/>
  <c r="AL85" i="29"/>
  <c r="N41" i="134"/>
  <c r="O41" i="134"/>
  <c r="AL84" i="29"/>
  <c r="N37" i="131"/>
  <c r="N37" i="136"/>
  <c r="O37" i="136"/>
  <c r="N37" i="133"/>
  <c r="O37" i="133"/>
  <c r="P31" i="130" l="1"/>
  <c r="Q31" i="130" s="1"/>
  <c r="AK83" i="29"/>
  <c r="AI83" i="29"/>
  <c r="AG83" i="29"/>
  <c r="AE83" i="29"/>
  <c r="AA83" i="29"/>
  <c r="Y83" i="29"/>
  <c r="W83" i="29"/>
  <c r="S83" i="29"/>
  <c r="Q83" i="29"/>
  <c r="O83" i="29"/>
  <c r="M83" i="29"/>
  <c r="Q18" i="130"/>
  <c r="P18" i="130" s="1"/>
  <c r="Q17" i="130"/>
  <c r="P17" i="130" s="1"/>
  <c r="O17" i="130"/>
  <c r="P16" i="130"/>
  <c r="P15" i="130"/>
  <c r="O15" i="130"/>
  <c r="P14" i="130"/>
  <c r="P13" i="130"/>
  <c r="O13" i="130"/>
  <c r="P31" i="129"/>
  <c r="Q31" i="129" s="1"/>
  <c r="AK82" i="29"/>
  <c r="AI82" i="29"/>
  <c r="AG82" i="29"/>
  <c r="AE82" i="29"/>
  <c r="AA82" i="29"/>
  <c r="Y82" i="29"/>
  <c r="W82" i="29"/>
  <c r="S82" i="29"/>
  <c r="Q82" i="29"/>
  <c r="O82" i="29"/>
  <c r="M82" i="29"/>
  <c r="Q18" i="129"/>
  <c r="P18" i="129" s="1"/>
  <c r="Q17" i="129"/>
  <c r="P17" i="129" s="1"/>
  <c r="O17" i="129"/>
  <c r="Q16" i="129"/>
  <c r="P16" i="129" s="1"/>
  <c r="Q15" i="129"/>
  <c r="P15" i="129" s="1"/>
  <c r="O15" i="129"/>
  <c r="Q14" i="129"/>
  <c r="P14" i="129" s="1"/>
  <c r="P13" i="129"/>
  <c r="O13" i="129"/>
  <c r="AK81" i="29"/>
  <c r="AI81" i="29"/>
  <c r="AG81" i="29"/>
  <c r="AE81" i="29"/>
  <c r="AA81" i="29"/>
  <c r="Y81" i="29"/>
  <c r="W81" i="29"/>
  <c r="S81" i="29"/>
  <c r="Q81" i="29"/>
  <c r="O81" i="29"/>
  <c r="M81" i="29"/>
  <c r="Q18" i="128"/>
  <c r="P18" i="128" s="1"/>
  <c r="Q17" i="128"/>
  <c r="P17" i="128" s="1"/>
  <c r="O17" i="128"/>
  <c r="Q16" i="128"/>
  <c r="P16" i="128" s="1"/>
  <c r="Q15" i="128"/>
  <c r="P15" i="128" s="1"/>
  <c r="O15" i="128"/>
  <c r="Q14" i="128"/>
  <c r="P14" i="128" s="1"/>
  <c r="P13" i="128"/>
  <c r="O13" i="128"/>
  <c r="O19" i="130" l="1"/>
  <c r="O19" i="128"/>
  <c r="O21" i="128" s="1"/>
  <c r="O28" i="128" s="1"/>
  <c r="O30" i="128" s="1"/>
  <c r="O31" i="128" s="1"/>
  <c r="AC82" i="29"/>
  <c r="AC83" i="29"/>
  <c r="AC81" i="29"/>
  <c r="Q19" i="129"/>
  <c r="Q21" i="129" s="1"/>
  <c r="Q23" i="129" s="1"/>
  <c r="Q26" i="129" s="1"/>
  <c r="Q28" i="129" s="1"/>
  <c r="Q30" i="129" s="1"/>
  <c r="Q32" i="129" s="1"/>
  <c r="Q33" i="129" s="1"/>
  <c r="Q35" i="129" s="1"/>
  <c r="Q36" i="129" s="1"/>
  <c r="Q19" i="128"/>
  <c r="Q21" i="128" s="1"/>
  <c r="Q23" i="128" s="1"/>
  <c r="Q26" i="128" s="1"/>
  <c r="Q28" i="128" s="1"/>
  <c r="Q30" i="128" s="1"/>
  <c r="O19" i="129"/>
  <c r="Q19" i="130"/>
  <c r="Q21" i="130" s="1"/>
  <c r="Q23" i="130" s="1"/>
  <c r="Q26" i="130" s="1"/>
  <c r="Q28" i="130" s="1"/>
  <c r="Q30" i="130" s="1"/>
  <c r="Q32" i="130" s="1"/>
  <c r="P19" i="130"/>
  <c r="P21" i="130" s="1"/>
  <c r="P19" i="129"/>
  <c r="P21" i="129" s="1"/>
  <c r="P19" i="128"/>
  <c r="P21" i="128" s="1"/>
  <c r="Q33" i="130" l="1"/>
  <c r="Q35" i="130" s="1"/>
  <c r="Q36" i="130" s="1"/>
  <c r="Q41" i="130" s="1"/>
  <c r="O32" i="128"/>
  <c r="O33" i="128" s="1"/>
  <c r="O35" i="128" s="1"/>
  <c r="P31" i="128"/>
  <c r="Q31" i="128" s="1"/>
  <c r="Q32" i="128" s="1"/>
  <c r="Q35" i="128" s="1"/>
  <c r="Q36" i="128" s="1"/>
  <c r="Q41" i="128" s="1"/>
  <c r="Q41" i="129"/>
  <c r="P23" i="130"/>
  <c r="P26" i="130" s="1"/>
  <c r="P28" i="130" s="1"/>
  <c r="P30" i="130" s="1"/>
  <c r="P32" i="130" s="1"/>
  <c r="P23" i="129"/>
  <c r="P26" i="129" s="1"/>
  <c r="P28" i="129" s="1"/>
  <c r="P30" i="129" s="1"/>
  <c r="P32" i="129" s="1"/>
  <c r="P33" i="129" s="1"/>
  <c r="P35" i="129" s="1"/>
  <c r="P36" i="129" s="1"/>
  <c r="P23" i="128"/>
  <c r="P26" i="128" s="1"/>
  <c r="P28" i="128" s="1"/>
  <c r="P30" i="128" s="1"/>
  <c r="P33" i="130" l="1"/>
  <c r="P35" i="130" s="1"/>
  <c r="P32" i="128"/>
  <c r="P35" i="128" s="1"/>
  <c r="P36" i="128" s="1"/>
  <c r="P41" i="128" s="1"/>
  <c r="P37" i="129"/>
  <c r="P41" i="129"/>
  <c r="P36" i="130" l="1"/>
  <c r="P41" i="130" s="1"/>
  <c r="P37" i="130"/>
  <c r="V83" i="29" s="1"/>
  <c r="P37" i="128"/>
  <c r="V81" i="29" s="1"/>
  <c r="V82" i="29"/>
  <c r="C41" i="129"/>
  <c r="N82" i="29"/>
  <c r="C41" i="130"/>
  <c r="N83" i="29"/>
  <c r="C41" i="128"/>
  <c r="N81" i="29"/>
  <c r="P39" i="129"/>
  <c r="P39" i="130" l="1"/>
  <c r="P39" i="128"/>
  <c r="X81" i="29"/>
  <c r="X83" i="29"/>
  <c r="D41" i="128"/>
  <c r="P81" i="29"/>
  <c r="D41" i="129"/>
  <c r="P82" i="29"/>
  <c r="D41" i="130"/>
  <c r="P83" i="29"/>
  <c r="R83" i="29"/>
  <c r="R81" i="29"/>
  <c r="R82" i="29" l="1"/>
  <c r="X82" i="29"/>
  <c r="E41" i="130"/>
  <c r="E41" i="129"/>
  <c r="E41" i="128"/>
  <c r="T81" i="29"/>
  <c r="G41" i="128"/>
  <c r="F41" i="129" l="1"/>
  <c r="T82" i="29"/>
  <c r="F41" i="130"/>
  <c r="T83" i="29"/>
  <c r="G41" i="130"/>
  <c r="Z83" i="29"/>
  <c r="F41" i="128"/>
  <c r="Z81" i="29"/>
  <c r="G41" i="129" l="1"/>
  <c r="Z82" i="29"/>
  <c r="H41" i="130"/>
  <c r="AB83" i="29"/>
  <c r="H41" i="128"/>
  <c r="I41" i="128" l="1"/>
  <c r="AB81" i="29"/>
  <c r="H41" i="129"/>
  <c r="AD82" i="29"/>
  <c r="AD81" i="29"/>
  <c r="I41" i="130"/>
  <c r="AD83" i="29"/>
  <c r="I41" i="129" l="1"/>
  <c r="AB82" i="29"/>
  <c r="J41" i="129"/>
  <c r="J41" i="128"/>
  <c r="AF81" i="29"/>
  <c r="J41" i="130"/>
  <c r="AF83" i="29"/>
  <c r="K41" i="129" l="1"/>
  <c r="AF82" i="29"/>
  <c r="K41" i="128"/>
  <c r="K41" i="130"/>
  <c r="AH83" i="29"/>
  <c r="M41" i="129" l="1"/>
  <c r="AJ82" i="29"/>
  <c r="L41" i="128"/>
  <c r="AH81" i="29"/>
  <c r="L41" i="129"/>
  <c r="AH82" i="29"/>
  <c r="AJ81" i="29"/>
  <c r="AL82" i="29"/>
  <c r="L41" i="130"/>
  <c r="AJ83" i="29"/>
  <c r="N41" i="129" l="1"/>
  <c r="O41" i="129"/>
  <c r="M41" i="128"/>
  <c r="AL81" i="29"/>
  <c r="M41" i="130"/>
  <c r="AL83" i="29"/>
  <c r="N41" i="128" l="1"/>
  <c r="O41" i="128"/>
  <c r="N41" i="130"/>
  <c r="O41" i="130"/>
  <c r="AK80" i="29" l="1"/>
  <c r="AI80" i="29"/>
  <c r="AG80" i="29"/>
  <c r="AE80" i="29"/>
  <c r="AA80" i="29"/>
  <c r="Y80" i="29"/>
  <c r="W80" i="29"/>
  <c r="S80" i="29"/>
  <c r="Q80" i="29"/>
  <c r="O80" i="29"/>
  <c r="M80" i="29"/>
  <c r="Q18" i="127"/>
  <c r="P18" i="127" s="1"/>
  <c r="Q17" i="127"/>
  <c r="P17" i="127" s="1"/>
  <c r="O17" i="127"/>
  <c r="Q16" i="127"/>
  <c r="P16" i="127" s="1"/>
  <c r="Q15" i="127"/>
  <c r="P15" i="127" s="1"/>
  <c r="O15" i="127"/>
  <c r="Q14" i="127"/>
  <c r="P14" i="127" s="1"/>
  <c r="P13" i="127"/>
  <c r="O13" i="127"/>
  <c r="AC80" i="29" l="1"/>
  <c r="Q19" i="127"/>
  <c r="Q21" i="127" s="1"/>
  <c r="Q23" i="127" s="1"/>
  <c r="Q26" i="127" s="1"/>
  <c r="Q28" i="127" s="1"/>
  <c r="Q30" i="127" s="1"/>
  <c r="O19" i="127"/>
  <c r="O21" i="127" s="1"/>
  <c r="O28" i="127" s="1"/>
  <c r="O30" i="127" s="1"/>
  <c r="O31" i="127" s="1"/>
  <c r="P19" i="127"/>
  <c r="P21" i="127" s="1"/>
  <c r="O32" i="127" l="1"/>
  <c r="O33" i="127" s="1"/>
  <c r="O35" i="127" s="1"/>
  <c r="P31" i="127"/>
  <c r="Q31" i="127" s="1"/>
  <c r="Q32" i="127" s="1"/>
  <c r="P23" i="127"/>
  <c r="P26" i="127" s="1"/>
  <c r="P28" i="127" s="1"/>
  <c r="P30" i="127" s="1"/>
  <c r="Q33" i="127" l="1"/>
  <c r="Q35" i="127" s="1"/>
  <c r="Q36" i="127" s="1"/>
  <c r="Q41" i="127" s="1"/>
  <c r="P32" i="127"/>
  <c r="P33" i="127" l="1"/>
  <c r="P35" i="127" s="1"/>
  <c r="C41" i="127"/>
  <c r="N80" i="29"/>
  <c r="P36" i="127" l="1"/>
  <c r="P41" i="127" s="1"/>
  <c r="P37" i="127"/>
  <c r="V80" i="29" s="1"/>
  <c r="X80" i="29"/>
  <c r="D41" i="127"/>
  <c r="P80" i="29"/>
  <c r="R80" i="29"/>
  <c r="P39" i="127" l="1"/>
  <c r="F41" i="127"/>
  <c r="T80" i="29"/>
  <c r="E41" i="127"/>
  <c r="G41" i="127" l="1"/>
  <c r="AD80" i="29" l="1"/>
  <c r="Z80" i="29"/>
  <c r="H41" i="127"/>
  <c r="I41" i="127" l="1"/>
  <c r="AB80" i="29"/>
  <c r="J41" i="127"/>
  <c r="AF80" i="29"/>
  <c r="K41" i="127" l="1"/>
  <c r="AH80" i="29"/>
  <c r="L41" i="127" l="1"/>
  <c r="AJ80" i="29"/>
  <c r="M41" i="127" l="1"/>
  <c r="AL80" i="29"/>
  <c r="N41" i="127" l="1"/>
  <c r="O41" i="127"/>
  <c r="P31" i="125" l="1"/>
  <c r="Q31" i="125" s="1"/>
  <c r="AK79" i="29"/>
  <c r="AI79" i="29"/>
  <c r="AG79" i="29"/>
  <c r="AE79" i="29"/>
  <c r="AA79" i="29"/>
  <c r="Y79" i="29"/>
  <c r="W79" i="29"/>
  <c r="S79" i="29"/>
  <c r="Q79" i="29"/>
  <c r="O79" i="29"/>
  <c r="M79" i="29"/>
  <c r="Q18" i="125"/>
  <c r="P18" i="125" s="1"/>
  <c r="Q17" i="125"/>
  <c r="P17" i="125" s="1"/>
  <c r="O17" i="125"/>
  <c r="Q16" i="125"/>
  <c r="P16" i="125" s="1"/>
  <c r="Q15" i="125"/>
  <c r="P15" i="125" s="1"/>
  <c r="O15" i="125"/>
  <c r="Q14" i="125"/>
  <c r="P14" i="125" s="1"/>
  <c r="Q13" i="125"/>
  <c r="P13" i="125" s="1"/>
  <c r="O13" i="125"/>
  <c r="AK78" i="29"/>
  <c r="AI78" i="29"/>
  <c r="AG78" i="29"/>
  <c r="AE78" i="29"/>
  <c r="AA78" i="29"/>
  <c r="Y78" i="29"/>
  <c r="W78" i="29"/>
  <c r="S78" i="29"/>
  <c r="Q78" i="29"/>
  <c r="O78" i="29"/>
  <c r="M78" i="29"/>
  <c r="Q18" i="124"/>
  <c r="P18" i="124" s="1"/>
  <c r="Q17" i="124"/>
  <c r="P17" i="124" s="1"/>
  <c r="O17" i="124"/>
  <c r="Q16" i="124"/>
  <c r="P16" i="124" s="1"/>
  <c r="Q15" i="124"/>
  <c r="P15" i="124" s="1"/>
  <c r="O15" i="124"/>
  <c r="Q14" i="124"/>
  <c r="P14" i="124" s="1"/>
  <c r="P13" i="124"/>
  <c r="O13" i="124"/>
  <c r="P31" i="122"/>
  <c r="Q31" i="122" s="1"/>
  <c r="AK77" i="29"/>
  <c r="AI77" i="29"/>
  <c r="AG77" i="29"/>
  <c r="AE77" i="29"/>
  <c r="AA77" i="29"/>
  <c r="Y77" i="29"/>
  <c r="W77" i="29"/>
  <c r="S77" i="29"/>
  <c r="Q77" i="29"/>
  <c r="O77" i="29"/>
  <c r="M77" i="29"/>
  <c r="Q18" i="122"/>
  <c r="P18" i="122" s="1"/>
  <c r="Q17" i="122"/>
  <c r="P17" i="122" s="1"/>
  <c r="O17" i="122"/>
  <c r="Q16" i="122"/>
  <c r="P16" i="122" s="1"/>
  <c r="Q15" i="122"/>
  <c r="P15" i="122" s="1"/>
  <c r="O15" i="122"/>
  <c r="Q14" i="122"/>
  <c r="P14" i="122" s="1"/>
  <c r="Q13" i="122"/>
  <c r="O13" i="122"/>
  <c r="AK76" i="29"/>
  <c r="AI76" i="29"/>
  <c r="AG76" i="29"/>
  <c r="AE76" i="29"/>
  <c r="AA76" i="29"/>
  <c r="Y76" i="29"/>
  <c r="W76" i="29"/>
  <c r="S76" i="29"/>
  <c r="Q76" i="29"/>
  <c r="O76" i="29"/>
  <c r="M76" i="29"/>
  <c r="Q18" i="121"/>
  <c r="P18" i="121" s="1"/>
  <c r="Q17" i="121"/>
  <c r="P17" i="121" s="1"/>
  <c r="O17" i="121"/>
  <c r="Q16" i="121"/>
  <c r="P16" i="121" s="1"/>
  <c r="Q15" i="121"/>
  <c r="P15" i="121" s="1"/>
  <c r="O15" i="121"/>
  <c r="Q14" i="121"/>
  <c r="P14" i="121" s="1"/>
  <c r="Q13" i="121"/>
  <c r="O13" i="121"/>
  <c r="O19" i="121" l="1"/>
  <c r="O21" i="121" s="1"/>
  <c r="O28" i="121" s="1"/>
  <c r="O30" i="121" s="1"/>
  <c r="Q19" i="121"/>
  <c r="Q21" i="121" s="1"/>
  <c r="Q23" i="121" s="1"/>
  <c r="Q26" i="121" s="1"/>
  <c r="Q28" i="121" s="1"/>
  <c r="Q30" i="121" s="1"/>
  <c r="O19" i="122"/>
  <c r="Q19" i="122"/>
  <c r="Q21" i="122" s="1"/>
  <c r="Q23" i="122" s="1"/>
  <c r="Q26" i="122" s="1"/>
  <c r="Q28" i="122" s="1"/>
  <c r="Q30" i="122" s="1"/>
  <c r="Q32" i="122" s="1"/>
  <c r="Q33" i="122" s="1"/>
  <c r="Q35" i="122" s="1"/>
  <c r="Q36" i="122" s="1"/>
  <c r="AC78" i="29"/>
  <c r="AC77" i="29"/>
  <c r="AC79" i="29"/>
  <c r="AC76" i="29"/>
  <c r="P13" i="122"/>
  <c r="P19" i="122" s="1"/>
  <c r="P21" i="122" s="1"/>
  <c r="O19" i="124"/>
  <c r="O28" i="124" s="1"/>
  <c r="O30" i="124" s="1"/>
  <c r="O19" i="125"/>
  <c r="P13" i="121"/>
  <c r="P19" i="121" s="1"/>
  <c r="P21" i="121" s="1"/>
  <c r="P23" i="121" s="1"/>
  <c r="P26" i="121" s="1"/>
  <c r="P28" i="121" s="1"/>
  <c r="P30" i="121" s="1"/>
  <c r="Q19" i="125"/>
  <c r="Q21" i="125" s="1"/>
  <c r="Q23" i="125" s="1"/>
  <c r="Q26" i="125" s="1"/>
  <c r="Q28" i="125" s="1"/>
  <c r="Q30" i="125" s="1"/>
  <c r="Q32" i="125" s="1"/>
  <c r="Q33" i="125" s="1"/>
  <c r="Q35" i="125" s="1"/>
  <c r="Q36" i="125" s="1"/>
  <c r="P19" i="125"/>
  <c r="P21" i="125" s="1"/>
  <c r="P19" i="124"/>
  <c r="P21" i="124" s="1"/>
  <c r="Q19" i="124"/>
  <c r="Q21" i="124" s="1"/>
  <c r="O31" i="124" l="1"/>
  <c r="P31" i="124" s="1"/>
  <c r="Q31" i="124" s="1"/>
  <c r="O31" i="121"/>
  <c r="P31" i="121" s="1"/>
  <c r="Q31" i="121" s="1"/>
  <c r="Q32" i="121" s="1"/>
  <c r="Q33" i="121" s="1"/>
  <c r="Q35" i="121" s="1"/>
  <c r="Q36" i="121" s="1"/>
  <c r="Q41" i="121" s="1"/>
  <c r="N79" i="29"/>
  <c r="C41" i="125"/>
  <c r="Q41" i="122"/>
  <c r="Q41" i="125"/>
  <c r="P23" i="125"/>
  <c r="P26" i="125" s="1"/>
  <c r="P28" i="125" s="1"/>
  <c r="P30" i="125" s="1"/>
  <c r="P32" i="125" s="1"/>
  <c r="P33" i="125" s="1"/>
  <c r="P35" i="125" s="1"/>
  <c r="P36" i="125" s="1"/>
  <c r="Q23" i="124"/>
  <c r="Q26" i="124" s="1"/>
  <c r="Q28" i="124" s="1"/>
  <c r="Q30" i="124" s="1"/>
  <c r="P23" i="124"/>
  <c r="P26" i="124" s="1"/>
  <c r="P28" i="124" s="1"/>
  <c r="P30" i="124" s="1"/>
  <c r="P23" i="122"/>
  <c r="P26" i="122" s="1"/>
  <c r="P28" i="122" s="1"/>
  <c r="P30" i="122" s="1"/>
  <c r="P32" i="122" s="1"/>
  <c r="P33" i="122" s="1"/>
  <c r="P35" i="122" s="1"/>
  <c r="P36" i="122" s="1"/>
  <c r="Q32" i="124" l="1"/>
  <c r="Q35" i="124" s="1"/>
  <c r="Q36" i="124" s="1"/>
  <c r="Q41" i="124" s="1"/>
  <c r="P32" i="124"/>
  <c r="P35" i="124" s="1"/>
  <c r="P36" i="124" s="1"/>
  <c r="P41" i="124" s="1"/>
  <c r="O32" i="124"/>
  <c r="O33" i="124" s="1"/>
  <c r="O35" i="124" s="1"/>
  <c r="O32" i="121"/>
  <c r="O33" i="121" s="1"/>
  <c r="O35" i="121" s="1"/>
  <c r="P32" i="121"/>
  <c r="P33" i="121" s="1"/>
  <c r="P35" i="121" s="1"/>
  <c r="X79" i="29"/>
  <c r="D41" i="125"/>
  <c r="P79" i="29"/>
  <c r="P37" i="125"/>
  <c r="P41" i="125"/>
  <c r="P37" i="122"/>
  <c r="V77" i="29" s="1"/>
  <c r="P41" i="122"/>
  <c r="P37" i="124" l="1"/>
  <c r="V78" i="29" s="1"/>
  <c r="P36" i="121"/>
  <c r="P41" i="121" s="1"/>
  <c r="P37" i="121"/>
  <c r="E41" i="125"/>
  <c r="R79" i="29"/>
  <c r="V79" i="29"/>
  <c r="C41" i="121"/>
  <c r="N76" i="29"/>
  <c r="C41" i="122"/>
  <c r="N77" i="29"/>
  <c r="C41" i="124"/>
  <c r="N78" i="29"/>
  <c r="F41" i="125"/>
  <c r="T79" i="29"/>
  <c r="P39" i="125"/>
  <c r="P39" i="122"/>
  <c r="P39" i="124" l="1"/>
  <c r="V76" i="29"/>
  <c r="P39" i="121"/>
  <c r="G41" i="125"/>
  <c r="X76" i="29"/>
  <c r="R78" i="29"/>
  <c r="D41" i="121"/>
  <c r="P76" i="29"/>
  <c r="D41" i="122"/>
  <c r="P77" i="29"/>
  <c r="D41" i="124"/>
  <c r="P78" i="29"/>
  <c r="Z79" i="29"/>
  <c r="X77" i="29" l="1"/>
  <c r="R77" i="29"/>
  <c r="X78" i="29"/>
  <c r="G41" i="121"/>
  <c r="F41" i="121"/>
  <c r="T76" i="29"/>
  <c r="I41" i="125"/>
  <c r="E41" i="121"/>
  <c r="R76" i="29"/>
  <c r="H41" i="125"/>
  <c r="E41" i="124"/>
  <c r="E41" i="122"/>
  <c r="T77" i="29"/>
  <c r="AB79" i="29" l="1"/>
  <c r="F41" i="124"/>
  <c r="T78" i="29"/>
  <c r="G41" i="122"/>
  <c r="J41" i="125"/>
  <c r="AD79" i="29"/>
  <c r="AF79" i="29"/>
  <c r="F41" i="122"/>
  <c r="Z77" i="29"/>
  <c r="Z76" i="29" l="1"/>
  <c r="H41" i="121"/>
  <c r="I41" i="121"/>
  <c r="AB76" i="29"/>
  <c r="J41" i="121"/>
  <c r="AD76" i="29"/>
  <c r="K41" i="125"/>
  <c r="AH79" i="29"/>
  <c r="G41" i="124"/>
  <c r="H41" i="122"/>
  <c r="AB77" i="29"/>
  <c r="AH76" i="29" l="1"/>
  <c r="AF76" i="29"/>
  <c r="K41" i="121"/>
  <c r="H41" i="124"/>
  <c r="Z78" i="29"/>
  <c r="AB78" i="29"/>
  <c r="L41" i="125"/>
  <c r="AJ79" i="29"/>
  <c r="I41" i="124"/>
  <c r="AD78" i="29"/>
  <c r="I41" i="122"/>
  <c r="AD77" i="29"/>
  <c r="L41" i="121"/>
  <c r="AJ76" i="29"/>
  <c r="M41" i="125" l="1"/>
  <c r="AL79" i="29"/>
  <c r="J41" i="124"/>
  <c r="AF78" i="29"/>
  <c r="J41" i="122"/>
  <c r="AF77" i="29"/>
  <c r="M41" i="121"/>
  <c r="N41" i="121" l="1"/>
  <c r="AL76" i="29"/>
  <c r="N41" i="125"/>
  <c r="O41" i="125"/>
  <c r="K41" i="124"/>
  <c r="AH78" i="29"/>
  <c r="K41" i="122"/>
  <c r="AH77" i="29"/>
  <c r="O41" i="121"/>
  <c r="L41" i="124" l="1"/>
  <c r="AJ78" i="29"/>
  <c r="L41" i="122"/>
  <c r="AJ77" i="29"/>
  <c r="M41" i="124" l="1"/>
  <c r="AL78" i="29"/>
  <c r="M41" i="122"/>
  <c r="AL77" i="29"/>
  <c r="N41" i="124" l="1"/>
  <c r="O41" i="124"/>
  <c r="N41" i="122"/>
  <c r="O41" i="122"/>
  <c r="D27" i="120" l="1"/>
  <c r="E27" i="120" s="1"/>
  <c r="F27" i="120" s="1"/>
  <c r="G27" i="120" s="1"/>
  <c r="H27" i="120" s="1"/>
  <c r="I27" i="120" s="1"/>
  <c r="J27" i="120" s="1"/>
  <c r="K27" i="120" s="1"/>
  <c r="L27" i="120" s="1"/>
  <c r="M27" i="120" s="1"/>
  <c r="N27" i="120" s="1"/>
  <c r="O27" i="120" s="1"/>
  <c r="P27" i="120" s="1"/>
  <c r="Q27" i="120" s="1"/>
  <c r="O21" i="120"/>
  <c r="N17" i="120"/>
  <c r="AK75" i="29" s="1"/>
  <c r="M17" i="120"/>
  <c r="AI75" i="29" s="1"/>
  <c r="L17" i="120"/>
  <c r="AG75" i="29" s="1"/>
  <c r="K17" i="120"/>
  <c r="AE75" i="29" s="1"/>
  <c r="J17" i="120"/>
  <c r="I17" i="120"/>
  <c r="AA75" i="29" s="1"/>
  <c r="H17" i="120"/>
  <c r="Y75" i="29" s="1"/>
  <c r="G17" i="120"/>
  <c r="W75" i="29" s="1"/>
  <c r="F17" i="120"/>
  <c r="S75" i="29" s="1"/>
  <c r="E17" i="120"/>
  <c r="Q75" i="29" s="1"/>
  <c r="D17" i="120"/>
  <c r="O75" i="29" s="1"/>
  <c r="C17" i="120"/>
  <c r="M75" i="29" s="1"/>
  <c r="Q14" i="120"/>
  <c r="P14" i="120" s="1"/>
  <c r="Q13" i="120"/>
  <c r="P13" i="120" s="1"/>
  <c r="O13" i="120"/>
  <c r="Q12" i="120"/>
  <c r="P12" i="120" s="1"/>
  <c r="Q11" i="120"/>
  <c r="P11" i="120" s="1"/>
  <c r="O11" i="120"/>
  <c r="Q10" i="120"/>
  <c r="P10" i="120" s="1"/>
  <c r="Q9" i="120"/>
  <c r="P9" i="120" s="1"/>
  <c r="O9" i="120"/>
  <c r="D27" i="119"/>
  <c r="E27" i="119" s="1"/>
  <c r="F27" i="119" s="1"/>
  <c r="G27" i="119" s="1"/>
  <c r="H27" i="119" s="1"/>
  <c r="I27" i="119" s="1"/>
  <c r="J27" i="119" s="1"/>
  <c r="K27" i="119" s="1"/>
  <c r="L27" i="119" s="1"/>
  <c r="M27" i="119" s="1"/>
  <c r="N27" i="119" s="1"/>
  <c r="O27" i="119" s="1"/>
  <c r="P27" i="119" s="1"/>
  <c r="Q27" i="119" s="1"/>
  <c r="O21" i="119"/>
  <c r="N17" i="119"/>
  <c r="AK74" i="29" s="1"/>
  <c r="M17" i="119"/>
  <c r="AI74" i="29" s="1"/>
  <c r="L17" i="119"/>
  <c r="AG74" i="29" s="1"/>
  <c r="K17" i="119"/>
  <c r="AE74" i="29" s="1"/>
  <c r="J17" i="119"/>
  <c r="I17" i="119"/>
  <c r="AA74" i="29" s="1"/>
  <c r="H17" i="119"/>
  <c r="Y74" i="29" s="1"/>
  <c r="G17" i="119"/>
  <c r="W74" i="29" s="1"/>
  <c r="F17" i="119"/>
  <c r="S74" i="29" s="1"/>
  <c r="E17" i="119"/>
  <c r="Q74" i="29" s="1"/>
  <c r="D17" i="119"/>
  <c r="O74" i="29" s="1"/>
  <c r="C17" i="119"/>
  <c r="M74" i="29" s="1"/>
  <c r="Q14" i="119"/>
  <c r="P14" i="119" s="1"/>
  <c r="Q13" i="119"/>
  <c r="P13" i="119" s="1"/>
  <c r="O13" i="119"/>
  <c r="Q12" i="119"/>
  <c r="P12" i="119" s="1"/>
  <c r="Q11" i="119"/>
  <c r="P11" i="119" s="1"/>
  <c r="O11" i="119"/>
  <c r="Q10" i="119"/>
  <c r="P10" i="119" s="1"/>
  <c r="Q9" i="119"/>
  <c r="O9" i="119"/>
  <c r="Q15" i="119" l="1"/>
  <c r="Q17" i="119" s="1"/>
  <c r="Q19" i="119" s="1"/>
  <c r="Q22" i="119" s="1"/>
  <c r="Q24" i="119" s="1"/>
  <c r="Q26" i="119" s="1"/>
  <c r="Q28" i="119" s="1"/>
  <c r="Q29" i="119" s="1"/>
  <c r="Q31" i="119" s="1"/>
  <c r="Q32" i="119" s="1"/>
  <c r="J19" i="119"/>
  <c r="J22" i="119" s="1"/>
  <c r="J24" i="119" s="1"/>
  <c r="AC74" i="29"/>
  <c r="P9" i="119"/>
  <c r="P15" i="119" s="1"/>
  <c r="P17" i="119" s="1"/>
  <c r="J19" i="120"/>
  <c r="J22" i="120" s="1"/>
  <c r="J24" i="120" s="1"/>
  <c r="AC75" i="29"/>
  <c r="Q15" i="120"/>
  <c r="Q17" i="120" s="1"/>
  <c r="Q19" i="120" s="1"/>
  <c r="Q22" i="120" s="1"/>
  <c r="Q24" i="120" s="1"/>
  <c r="Q26" i="120" s="1"/>
  <c r="Q28" i="120" s="1"/>
  <c r="Q29" i="120" s="1"/>
  <c r="Q31" i="120" s="1"/>
  <c r="Q32" i="120" s="1"/>
  <c r="O15" i="120"/>
  <c r="O17" i="120" s="1"/>
  <c r="O15" i="119"/>
  <c r="O17" i="119" s="1"/>
  <c r="M19" i="120"/>
  <c r="M22" i="120" s="1"/>
  <c r="M24" i="120" s="1"/>
  <c r="N19" i="120"/>
  <c r="N22" i="120" s="1"/>
  <c r="N24" i="120" s="1"/>
  <c r="H19" i="120"/>
  <c r="H22" i="120" s="1"/>
  <c r="H24" i="120" s="1"/>
  <c r="E19" i="120"/>
  <c r="E22" i="120" s="1"/>
  <c r="E24" i="120" s="1"/>
  <c r="G19" i="120"/>
  <c r="G22" i="120" s="1"/>
  <c r="G24" i="120" s="1"/>
  <c r="I19" i="120"/>
  <c r="I22" i="120" s="1"/>
  <c r="I24" i="120" s="1"/>
  <c r="P15" i="120"/>
  <c r="P17" i="120" s="1"/>
  <c r="C19" i="120"/>
  <c r="K19" i="120"/>
  <c r="K22" i="120" s="1"/>
  <c r="K24" i="120" s="1"/>
  <c r="F19" i="120"/>
  <c r="F22" i="120" s="1"/>
  <c r="F24" i="120" s="1"/>
  <c r="D19" i="120"/>
  <c r="D22" i="120" s="1"/>
  <c r="D24" i="120" s="1"/>
  <c r="L19" i="120"/>
  <c r="L22" i="120" s="1"/>
  <c r="L24" i="120" s="1"/>
  <c r="M19" i="119"/>
  <c r="M22" i="119" s="1"/>
  <c r="M24" i="119" s="1"/>
  <c r="L19" i="119"/>
  <c r="L22" i="119" s="1"/>
  <c r="L24" i="119" s="1"/>
  <c r="N19" i="119"/>
  <c r="N22" i="119" s="1"/>
  <c r="N24" i="119" s="1"/>
  <c r="K19" i="119"/>
  <c r="K22" i="119" s="1"/>
  <c r="K24" i="119" s="1"/>
  <c r="F19" i="119"/>
  <c r="F22" i="119" s="1"/>
  <c r="F24" i="119" s="1"/>
  <c r="C19" i="119"/>
  <c r="E19" i="119"/>
  <c r="E22" i="119" s="1"/>
  <c r="E24" i="119" s="1"/>
  <c r="G19" i="119"/>
  <c r="G22" i="119" s="1"/>
  <c r="G24" i="119" s="1"/>
  <c r="H19" i="119"/>
  <c r="H22" i="119" s="1"/>
  <c r="H24" i="119" s="1"/>
  <c r="I19" i="119"/>
  <c r="I22" i="119" s="1"/>
  <c r="I24" i="119" s="1"/>
  <c r="D19" i="119"/>
  <c r="D22" i="119" s="1"/>
  <c r="D24" i="119" s="1"/>
  <c r="Q37" i="119" l="1"/>
  <c r="Q37" i="120"/>
  <c r="C22" i="120"/>
  <c r="C24" i="120" s="1"/>
  <c r="O19" i="120"/>
  <c r="O22" i="120" s="1"/>
  <c r="O24" i="120" s="1"/>
  <c r="O26" i="120" s="1"/>
  <c r="O28" i="120" s="1"/>
  <c r="O29" i="120" s="1"/>
  <c r="O31" i="120" s="1"/>
  <c r="P19" i="120"/>
  <c r="P22" i="120" s="1"/>
  <c r="P24" i="120" s="1"/>
  <c r="P26" i="120" s="1"/>
  <c r="P28" i="120" s="1"/>
  <c r="P29" i="120" s="1"/>
  <c r="P31" i="120" s="1"/>
  <c r="P32" i="120" s="1"/>
  <c r="P19" i="119"/>
  <c r="P22" i="119" s="1"/>
  <c r="P24" i="119" s="1"/>
  <c r="P26" i="119" s="1"/>
  <c r="P28" i="119" s="1"/>
  <c r="P29" i="119" s="1"/>
  <c r="P31" i="119" s="1"/>
  <c r="P32" i="119" s="1"/>
  <c r="O19" i="119"/>
  <c r="O22" i="119" s="1"/>
  <c r="O24" i="119" s="1"/>
  <c r="O26" i="119" s="1"/>
  <c r="O28" i="119" s="1"/>
  <c r="O29" i="119" s="1"/>
  <c r="O31" i="119" s="1"/>
  <c r="C22" i="119"/>
  <c r="C24" i="119" s="1"/>
  <c r="P33" i="120" l="1"/>
  <c r="V75" i="29" s="1"/>
  <c r="P37" i="120"/>
  <c r="L26" i="120"/>
  <c r="L28" i="120" s="1"/>
  <c r="L29" i="120" s="1"/>
  <c r="L31" i="120" s="1"/>
  <c r="D26" i="120"/>
  <c r="D28" i="120" s="1"/>
  <c r="D29" i="120" s="1"/>
  <c r="D31" i="120" s="1"/>
  <c r="K26" i="120"/>
  <c r="K28" i="120" s="1"/>
  <c r="K29" i="120" s="1"/>
  <c r="K31" i="120" s="1"/>
  <c r="C26" i="120"/>
  <c r="C28" i="120" s="1"/>
  <c r="C29" i="120" s="1"/>
  <c r="C31" i="120" s="1"/>
  <c r="C32" i="120" s="1"/>
  <c r="J26" i="120"/>
  <c r="J28" i="120" s="1"/>
  <c r="J29" i="120" s="1"/>
  <c r="J31" i="120" s="1"/>
  <c r="I26" i="120"/>
  <c r="I28" i="120" s="1"/>
  <c r="I29" i="120" s="1"/>
  <c r="I31" i="120" s="1"/>
  <c r="G26" i="120"/>
  <c r="G28" i="120" s="1"/>
  <c r="G29" i="120" s="1"/>
  <c r="G31" i="120" s="1"/>
  <c r="H26" i="120"/>
  <c r="H28" i="120" s="1"/>
  <c r="H29" i="120" s="1"/>
  <c r="H31" i="120" s="1"/>
  <c r="N26" i="120"/>
  <c r="N28" i="120" s="1"/>
  <c r="N29" i="120" s="1"/>
  <c r="N31" i="120" s="1"/>
  <c r="F26" i="120"/>
  <c r="F28" i="120" s="1"/>
  <c r="F29" i="120" s="1"/>
  <c r="F31" i="120" s="1"/>
  <c r="M26" i="120"/>
  <c r="M28" i="120" s="1"/>
  <c r="M29" i="120" s="1"/>
  <c r="M31" i="120" s="1"/>
  <c r="E26" i="120"/>
  <c r="E28" i="120" s="1"/>
  <c r="E29" i="120" s="1"/>
  <c r="E31" i="120" s="1"/>
  <c r="P33" i="119"/>
  <c r="V74" i="29" s="1"/>
  <c r="P37" i="119"/>
  <c r="L26" i="119"/>
  <c r="L28" i="119" s="1"/>
  <c r="L29" i="119" s="1"/>
  <c r="L31" i="119" s="1"/>
  <c r="D26" i="119"/>
  <c r="D28" i="119" s="1"/>
  <c r="D29" i="119" s="1"/>
  <c r="D31" i="119" s="1"/>
  <c r="E26" i="119"/>
  <c r="E28" i="119" s="1"/>
  <c r="E29" i="119" s="1"/>
  <c r="E31" i="119" s="1"/>
  <c r="K26" i="119"/>
  <c r="K28" i="119" s="1"/>
  <c r="K29" i="119" s="1"/>
  <c r="K31" i="119" s="1"/>
  <c r="C26" i="119"/>
  <c r="C28" i="119" s="1"/>
  <c r="C29" i="119" s="1"/>
  <c r="C31" i="119" s="1"/>
  <c r="C32" i="119" s="1"/>
  <c r="J26" i="119"/>
  <c r="J28" i="119" s="1"/>
  <c r="J29" i="119" s="1"/>
  <c r="J31" i="119" s="1"/>
  <c r="M26" i="119"/>
  <c r="M28" i="119" s="1"/>
  <c r="M29" i="119" s="1"/>
  <c r="M31" i="119" s="1"/>
  <c r="I26" i="119"/>
  <c r="I28" i="119" s="1"/>
  <c r="I29" i="119" s="1"/>
  <c r="I31" i="119" s="1"/>
  <c r="H26" i="119"/>
  <c r="H28" i="119" s="1"/>
  <c r="H29" i="119" s="1"/>
  <c r="H31" i="119" s="1"/>
  <c r="G26" i="119"/>
  <c r="G28" i="119" s="1"/>
  <c r="G29" i="119" s="1"/>
  <c r="G31" i="119" s="1"/>
  <c r="N26" i="119"/>
  <c r="N28" i="119" s="1"/>
  <c r="N29" i="119" s="1"/>
  <c r="N31" i="119" s="1"/>
  <c r="F26" i="119"/>
  <c r="F28" i="119" s="1"/>
  <c r="F29" i="119" s="1"/>
  <c r="F31" i="119" s="1"/>
  <c r="D32" i="119" l="1"/>
  <c r="E32" i="119" s="1"/>
  <c r="D32" i="120"/>
  <c r="C37" i="120"/>
  <c r="N75" i="29"/>
  <c r="C37" i="119"/>
  <c r="N74" i="29"/>
  <c r="P35" i="120"/>
  <c r="P35" i="119"/>
  <c r="E32" i="120" l="1"/>
  <c r="R75" i="29" s="1"/>
  <c r="F32" i="119"/>
  <c r="G32" i="119" s="1"/>
  <c r="X74" i="29" s="1"/>
  <c r="D37" i="119"/>
  <c r="P74" i="29"/>
  <c r="D37" i="120"/>
  <c r="P75" i="29"/>
  <c r="R74" i="29"/>
  <c r="F32" i="120" l="1"/>
  <c r="T75" i="29" s="1"/>
  <c r="H32" i="119"/>
  <c r="I32" i="119" s="1"/>
  <c r="J32" i="119" s="1"/>
  <c r="E37" i="120"/>
  <c r="E37" i="119"/>
  <c r="T74" i="29"/>
  <c r="G32" i="120" l="1"/>
  <c r="X75" i="29" s="1"/>
  <c r="K32" i="119"/>
  <c r="L32" i="119" s="1"/>
  <c r="M32" i="119" s="1"/>
  <c r="F37" i="120"/>
  <c r="G37" i="119"/>
  <c r="F37" i="119"/>
  <c r="H32" i="120" l="1"/>
  <c r="I32" i="120" s="1"/>
  <c r="J32" i="120" s="1"/>
  <c r="K32" i="120" s="1"/>
  <c r="L32" i="120" s="1"/>
  <c r="M32" i="120" s="1"/>
  <c r="N32" i="120" s="1"/>
  <c r="O32" i="120" s="1"/>
  <c r="N32" i="119"/>
  <c r="O32" i="119" s="1"/>
  <c r="G37" i="120"/>
  <c r="I37" i="119" l="1"/>
  <c r="AB74" i="29"/>
  <c r="AB75" i="29"/>
  <c r="Z75" i="29"/>
  <c r="Z74" i="29"/>
  <c r="I37" i="120"/>
  <c r="AD75" i="29"/>
  <c r="H37" i="120"/>
  <c r="H37" i="119"/>
  <c r="AF74" i="29"/>
  <c r="J37" i="119" l="1"/>
  <c r="AD74" i="29"/>
  <c r="J37" i="120"/>
  <c r="AF75" i="29"/>
  <c r="K37" i="119"/>
  <c r="AH74" i="29"/>
  <c r="K37" i="120" l="1"/>
  <c r="AH75" i="29"/>
  <c r="L37" i="119"/>
  <c r="AJ74" i="29"/>
  <c r="L37" i="120" l="1"/>
  <c r="AJ75" i="29"/>
  <c r="M37" i="119"/>
  <c r="AL74" i="29"/>
  <c r="M37" i="120" l="1"/>
  <c r="AL75" i="29"/>
  <c r="N37" i="119"/>
  <c r="O37" i="119"/>
  <c r="N37" i="120" l="1"/>
  <c r="O37" i="120"/>
  <c r="E13" i="32" l="1"/>
  <c r="G3" i="32"/>
  <c r="H3" i="32" s="1"/>
  <c r="V10" i="29" l="1"/>
  <c r="V9" i="29"/>
  <c r="U9" i="29"/>
  <c r="U10" i="29"/>
  <c r="E17" i="118"/>
  <c r="Q10" i="29" s="1"/>
  <c r="D27" i="118"/>
  <c r="E27" i="118" s="1"/>
  <c r="F27" i="118" s="1"/>
  <c r="G27" i="118" s="1"/>
  <c r="H27" i="118" s="1"/>
  <c r="I27" i="118" s="1"/>
  <c r="J27" i="118" s="1"/>
  <c r="K27" i="118" s="1"/>
  <c r="L27" i="118" s="1"/>
  <c r="M27" i="118" s="1"/>
  <c r="N27" i="118" s="1"/>
  <c r="O27" i="118" s="1"/>
  <c r="P27" i="118" s="1"/>
  <c r="Q27" i="118" s="1"/>
  <c r="O21" i="118"/>
  <c r="N17" i="118"/>
  <c r="M17" i="118"/>
  <c r="AI10" i="29" s="1"/>
  <c r="L17" i="118"/>
  <c r="K17" i="118"/>
  <c r="AE10" i="29" s="1"/>
  <c r="J17" i="118"/>
  <c r="I17" i="118"/>
  <c r="AA10" i="29" s="1"/>
  <c r="H17" i="118"/>
  <c r="Y10" i="29" s="1"/>
  <c r="G17" i="118"/>
  <c r="W10" i="29" s="1"/>
  <c r="F17" i="118"/>
  <c r="S10" i="29" s="1"/>
  <c r="D17" i="118"/>
  <c r="C17" i="118"/>
  <c r="M10" i="29" s="1"/>
  <c r="Q14" i="118"/>
  <c r="P14" i="118" s="1"/>
  <c r="Q13" i="118"/>
  <c r="P13" i="118" s="1"/>
  <c r="O13" i="118"/>
  <c r="Q12" i="118"/>
  <c r="P12" i="118" s="1"/>
  <c r="Q11" i="118"/>
  <c r="P11" i="118" s="1"/>
  <c r="O11" i="118"/>
  <c r="Q10" i="118"/>
  <c r="P10" i="118" s="1"/>
  <c r="Q9" i="118"/>
  <c r="P9" i="118" s="1"/>
  <c r="O9" i="118"/>
  <c r="Q13" i="103"/>
  <c r="G9" i="32"/>
  <c r="H9" i="32" s="1"/>
  <c r="G8" i="32"/>
  <c r="H8" i="32" s="1"/>
  <c r="G7" i="32"/>
  <c r="H7" i="32" s="1"/>
  <c r="AI9" i="29"/>
  <c r="AE9" i="29"/>
  <c r="AA9" i="29"/>
  <c r="Y9" i="29"/>
  <c r="W9" i="29"/>
  <c r="S9" i="29"/>
  <c r="O9" i="29"/>
  <c r="Q18" i="117"/>
  <c r="P18" i="117" s="1"/>
  <c r="Q17" i="117"/>
  <c r="P17" i="117" s="1"/>
  <c r="O17" i="117"/>
  <c r="Q16" i="117"/>
  <c r="P16" i="117" s="1"/>
  <c r="Q9" i="29"/>
  <c r="Q15" i="117"/>
  <c r="P15" i="117" s="1"/>
  <c r="O15" i="117"/>
  <c r="Q14" i="117"/>
  <c r="P14" i="117" s="1"/>
  <c r="P13" i="117"/>
  <c r="O13" i="117"/>
  <c r="U72" i="29"/>
  <c r="U71" i="29"/>
  <c r="U67" i="29"/>
  <c r="O73" i="29"/>
  <c r="P31" i="116"/>
  <c r="Q31" i="116" s="1"/>
  <c r="AI73" i="29"/>
  <c r="AG73" i="29"/>
  <c r="AE73" i="29"/>
  <c r="AA73" i="29"/>
  <c r="Y73" i="29"/>
  <c r="W73" i="29"/>
  <c r="S73" i="29"/>
  <c r="Q73" i="29"/>
  <c r="M73" i="29"/>
  <c r="Q18" i="116"/>
  <c r="P18" i="116" s="1"/>
  <c r="Q17" i="116"/>
  <c r="P17" i="116" s="1"/>
  <c r="O17" i="116"/>
  <c r="Q16" i="116"/>
  <c r="P16" i="116" s="1"/>
  <c r="Q15" i="116"/>
  <c r="P15" i="116" s="1"/>
  <c r="O15" i="116"/>
  <c r="Q14" i="116"/>
  <c r="P14" i="116" s="1"/>
  <c r="Q13" i="116"/>
  <c r="P13" i="116" s="1"/>
  <c r="O13" i="116"/>
  <c r="D27" i="115"/>
  <c r="E27" i="115" s="1"/>
  <c r="F27" i="115" s="1"/>
  <c r="G27" i="115" s="1"/>
  <c r="H27" i="115" s="1"/>
  <c r="I27" i="115" s="1"/>
  <c r="J27" i="115" s="1"/>
  <c r="K27" i="115" s="1"/>
  <c r="L27" i="115" s="1"/>
  <c r="M27" i="115" s="1"/>
  <c r="N27" i="115" s="1"/>
  <c r="O27" i="115" s="1"/>
  <c r="P27" i="115" s="1"/>
  <c r="Q27" i="115" s="1"/>
  <c r="O21" i="115"/>
  <c r="N17" i="115"/>
  <c r="M17" i="115"/>
  <c r="AI72" i="29" s="1"/>
  <c r="L17" i="115"/>
  <c r="K17" i="115"/>
  <c r="J17" i="115"/>
  <c r="I17" i="115"/>
  <c r="AA72" i="29" s="1"/>
  <c r="H17" i="115"/>
  <c r="G17" i="115"/>
  <c r="W72" i="29" s="1"/>
  <c r="F17" i="115"/>
  <c r="E17" i="115"/>
  <c r="Q72" i="29" s="1"/>
  <c r="D17" i="115"/>
  <c r="O72" i="29" s="1"/>
  <c r="C17" i="115"/>
  <c r="M72" i="29" s="1"/>
  <c r="Q14" i="115"/>
  <c r="P14" i="115" s="1"/>
  <c r="Q13" i="115"/>
  <c r="P13" i="115" s="1"/>
  <c r="O13" i="115"/>
  <c r="Q12" i="115"/>
  <c r="P12" i="115" s="1"/>
  <c r="Q11" i="115"/>
  <c r="P11" i="115" s="1"/>
  <c r="O11" i="115"/>
  <c r="Q10" i="115"/>
  <c r="P10" i="115" s="1"/>
  <c r="Q9" i="115"/>
  <c r="P9" i="115" s="1"/>
  <c r="O9" i="115"/>
  <c r="P31" i="114"/>
  <c r="Q31" i="114" s="1"/>
  <c r="AI71" i="29"/>
  <c r="AG71" i="29"/>
  <c r="AE71" i="29"/>
  <c r="AA71" i="29"/>
  <c r="Y71" i="29"/>
  <c r="W71" i="29"/>
  <c r="S71" i="29"/>
  <c r="Q71" i="29"/>
  <c r="O71" i="29"/>
  <c r="M71" i="29"/>
  <c r="Q18" i="114"/>
  <c r="P18" i="114" s="1"/>
  <c r="Q17" i="114"/>
  <c r="P17" i="114" s="1"/>
  <c r="O17" i="114"/>
  <c r="Q16" i="114"/>
  <c r="P16" i="114" s="1"/>
  <c r="Q15" i="114"/>
  <c r="P15" i="114" s="1"/>
  <c r="O15" i="114"/>
  <c r="Q14" i="114"/>
  <c r="P14" i="114" s="1"/>
  <c r="Q13" i="114"/>
  <c r="P13" i="114" s="1"/>
  <c r="O13" i="114"/>
  <c r="D27" i="113"/>
  <c r="E27" i="113" s="1"/>
  <c r="F27" i="113" s="1"/>
  <c r="G27" i="113" s="1"/>
  <c r="H27" i="113" s="1"/>
  <c r="I27" i="113" s="1"/>
  <c r="J27" i="113" s="1"/>
  <c r="K27" i="113" s="1"/>
  <c r="L27" i="113" s="1"/>
  <c r="M27" i="113" s="1"/>
  <c r="N27" i="113" s="1"/>
  <c r="O27" i="113" s="1"/>
  <c r="P27" i="113" s="1"/>
  <c r="Q27" i="113" s="1"/>
  <c r="O21" i="113"/>
  <c r="N17" i="113"/>
  <c r="AK67" i="29" s="1"/>
  <c r="M17" i="113"/>
  <c r="AI67" i="29" s="1"/>
  <c r="L17" i="113"/>
  <c r="K17" i="113"/>
  <c r="AE67" i="29" s="1"/>
  <c r="J17" i="113"/>
  <c r="AC67" i="29" s="1"/>
  <c r="I17" i="113"/>
  <c r="AA67" i="29" s="1"/>
  <c r="H17" i="113"/>
  <c r="Y67" i="29" s="1"/>
  <c r="G17" i="113"/>
  <c r="W67" i="29" s="1"/>
  <c r="F17" i="113"/>
  <c r="S67" i="29" s="1"/>
  <c r="E17" i="113"/>
  <c r="Q67" i="29" s="1"/>
  <c r="D17" i="113"/>
  <c r="C17" i="113"/>
  <c r="M67" i="29" s="1"/>
  <c r="Q14" i="113"/>
  <c r="P14" i="113" s="1"/>
  <c r="Q13" i="113"/>
  <c r="P13" i="113" s="1"/>
  <c r="O13" i="113"/>
  <c r="Q12" i="113"/>
  <c r="P12" i="113" s="1"/>
  <c r="Q11" i="113"/>
  <c r="P11" i="113" s="1"/>
  <c r="O11" i="113"/>
  <c r="Q10" i="113"/>
  <c r="P10" i="113" s="1"/>
  <c r="Q9" i="113"/>
  <c r="O9" i="113"/>
  <c r="U5" i="29"/>
  <c r="U6" i="29"/>
  <c r="U41" i="29"/>
  <c r="R41" i="29"/>
  <c r="P41" i="29"/>
  <c r="U8" i="29"/>
  <c r="D27" i="111"/>
  <c r="E27" i="111" s="1"/>
  <c r="F27" i="111" s="1"/>
  <c r="G27" i="111" s="1"/>
  <c r="H27" i="111" s="1"/>
  <c r="I27" i="111" s="1"/>
  <c r="J27" i="111" s="1"/>
  <c r="K27" i="111" s="1"/>
  <c r="L27" i="111" s="1"/>
  <c r="M27" i="111" s="1"/>
  <c r="N27" i="111" s="1"/>
  <c r="O27" i="111" s="1"/>
  <c r="P27" i="111" s="1"/>
  <c r="Q27" i="111" s="1"/>
  <c r="O21" i="111"/>
  <c r="N17" i="111"/>
  <c r="AK41" i="29" s="1"/>
  <c r="M17" i="111"/>
  <c r="AI41" i="29" s="1"/>
  <c r="L17" i="111"/>
  <c r="K17" i="111"/>
  <c r="J17" i="111"/>
  <c r="AC41" i="29" s="1"/>
  <c r="I17" i="111"/>
  <c r="AA41" i="29" s="1"/>
  <c r="H17" i="111"/>
  <c r="G17" i="111"/>
  <c r="F17" i="111"/>
  <c r="S41" i="29" s="1"/>
  <c r="E17" i="111"/>
  <c r="Q41" i="29" s="1"/>
  <c r="D17" i="111"/>
  <c r="O41" i="29" s="1"/>
  <c r="C17" i="111"/>
  <c r="M41" i="29" s="1"/>
  <c r="Q14" i="111"/>
  <c r="P14" i="111" s="1"/>
  <c r="Q13" i="111"/>
  <c r="P13" i="111" s="1"/>
  <c r="Q12" i="111"/>
  <c r="P12" i="111" s="1"/>
  <c r="Q11" i="111"/>
  <c r="P11" i="111" s="1"/>
  <c r="Q10" i="111"/>
  <c r="P10" i="111" s="1"/>
  <c r="Q9" i="111"/>
  <c r="P9" i="111" s="1"/>
  <c r="O19" i="117" l="1"/>
  <c r="O21" i="117" s="1"/>
  <c r="O28" i="117" s="1"/>
  <c r="O30" i="117" s="1"/>
  <c r="AC73" i="29"/>
  <c r="D19" i="118"/>
  <c r="D22" i="118" s="1"/>
  <c r="D24" i="118" s="1"/>
  <c r="O10" i="29"/>
  <c r="L19" i="111"/>
  <c r="L22" i="111" s="1"/>
  <c r="L24" i="111" s="1"/>
  <c r="AG41" i="29"/>
  <c r="H19" i="111"/>
  <c r="H22" i="111" s="1"/>
  <c r="H24" i="111" s="1"/>
  <c r="Y41" i="29"/>
  <c r="G19" i="111"/>
  <c r="G22" i="111" s="1"/>
  <c r="G24" i="111" s="1"/>
  <c r="W41" i="29"/>
  <c r="K19" i="111"/>
  <c r="K22" i="111" s="1"/>
  <c r="K24" i="111" s="1"/>
  <c r="AE41" i="29"/>
  <c r="F19" i="115"/>
  <c r="F22" i="115" s="1"/>
  <c r="F24" i="115" s="1"/>
  <c r="S72" i="29"/>
  <c r="H19" i="115"/>
  <c r="H22" i="115" s="1"/>
  <c r="H24" i="115" s="1"/>
  <c r="Y72" i="29"/>
  <c r="J19" i="115"/>
  <c r="J22" i="115" s="1"/>
  <c r="J24" i="115" s="1"/>
  <c r="AC72" i="29"/>
  <c r="L19" i="115"/>
  <c r="L22" i="115" s="1"/>
  <c r="L24" i="115" s="1"/>
  <c r="AG72" i="29"/>
  <c r="N19" i="115"/>
  <c r="N22" i="115" s="1"/>
  <c r="N24" i="115" s="1"/>
  <c r="AK72" i="29"/>
  <c r="AK73" i="29"/>
  <c r="AC9" i="29"/>
  <c r="AK9" i="29"/>
  <c r="D19" i="113"/>
  <c r="D22" i="113" s="1"/>
  <c r="D24" i="113" s="1"/>
  <c r="O67" i="29"/>
  <c r="L19" i="113"/>
  <c r="L22" i="113" s="1"/>
  <c r="L24" i="113" s="1"/>
  <c r="AG67" i="29"/>
  <c r="AC71" i="29"/>
  <c r="AK71" i="29"/>
  <c r="K19" i="115"/>
  <c r="K22" i="115" s="1"/>
  <c r="K24" i="115" s="1"/>
  <c r="AE72" i="29"/>
  <c r="J19" i="118"/>
  <c r="J22" i="118" s="1"/>
  <c r="J24" i="118" s="1"/>
  <c r="AC10" i="29"/>
  <c r="L19" i="118"/>
  <c r="L22" i="118" s="1"/>
  <c r="L24" i="118" s="1"/>
  <c r="AG10" i="29"/>
  <c r="N19" i="118"/>
  <c r="N22" i="118" s="1"/>
  <c r="N24" i="118" s="1"/>
  <c r="AK10" i="29"/>
  <c r="H19" i="118"/>
  <c r="H22" i="118" s="1"/>
  <c r="H24" i="118" s="1"/>
  <c r="O19" i="114"/>
  <c r="O19" i="116"/>
  <c r="C19" i="115"/>
  <c r="C22" i="115" s="1"/>
  <c r="C24" i="115" s="1"/>
  <c r="D19" i="115"/>
  <c r="D22" i="115" s="1"/>
  <c r="D24" i="115" s="1"/>
  <c r="D19" i="111"/>
  <c r="D22" i="111" s="1"/>
  <c r="D24" i="111" s="1"/>
  <c r="H19" i="113"/>
  <c r="H22" i="113" s="1"/>
  <c r="H24" i="113" s="1"/>
  <c r="C19" i="111"/>
  <c r="C22" i="111" s="1"/>
  <c r="C24" i="111" s="1"/>
  <c r="G19" i="115"/>
  <c r="G22" i="115" s="1"/>
  <c r="G24" i="115" s="1"/>
  <c r="F19" i="118"/>
  <c r="F22" i="118" s="1"/>
  <c r="F24" i="118" s="1"/>
  <c r="Q15" i="113"/>
  <c r="Q17" i="113" s="1"/>
  <c r="Q19" i="113" s="1"/>
  <c r="Q22" i="113" s="1"/>
  <c r="Q24" i="113" s="1"/>
  <c r="Q26" i="113" s="1"/>
  <c r="Q28" i="113" s="1"/>
  <c r="Q29" i="113" s="1"/>
  <c r="Q31" i="113" s="1"/>
  <c r="Q32" i="113" s="1"/>
  <c r="P19" i="114"/>
  <c r="P21" i="114" s="1"/>
  <c r="P23" i="114" s="1"/>
  <c r="P26" i="114" s="1"/>
  <c r="P28" i="114" s="1"/>
  <c r="P30" i="114" s="1"/>
  <c r="P32" i="114" s="1"/>
  <c r="P35" i="114" s="1"/>
  <c r="P36" i="114" s="1"/>
  <c r="O15" i="118"/>
  <c r="O17" i="118" s="1"/>
  <c r="G13" i="32"/>
  <c r="E19" i="118"/>
  <c r="E22" i="118" s="1"/>
  <c r="E24" i="118" s="1"/>
  <c r="I19" i="118"/>
  <c r="I22" i="118" s="1"/>
  <c r="I24" i="118" s="1"/>
  <c r="P15" i="118"/>
  <c r="P17" i="118" s="1"/>
  <c r="C19" i="118"/>
  <c r="G19" i="118"/>
  <c r="G22" i="118" s="1"/>
  <c r="G24" i="118" s="1"/>
  <c r="K19" i="118"/>
  <c r="K22" i="118" s="1"/>
  <c r="K24" i="118" s="1"/>
  <c r="M19" i="118"/>
  <c r="M22" i="118" s="1"/>
  <c r="M24" i="118" s="1"/>
  <c r="Q15" i="118"/>
  <c r="Q17" i="118" s="1"/>
  <c r="O15" i="115"/>
  <c r="O17" i="115" s="1"/>
  <c r="H10" i="32"/>
  <c r="H13" i="32" s="1"/>
  <c r="P19" i="117"/>
  <c r="P21" i="117" s="1"/>
  <c r="P23" i="117" s="1"/>
  <c r="P26" i="117" s="1"/>
  <c r="P28" i="117" s="1"/>
  <c r="P30" i="117" s="1"/>
  <c r="Q19" i="117"/>
  <c r="Q21" i="117" s="1"/>
  <c r="P19" i="116"/>
  <c r="P21" i="116" s="1"/>
  <c r="Q19" i="116"/>
  <c r="Q21" i="116" s="1"/>
  <c r="E19" i="115"/>
  <c r="E22" i="115" s="1"/>
  <c r="E24" i="115" s="1"/>
  <c r="I19" i="115"/>
  <c r="I22" i="115" s="1"/>
  <c r="I24" i="115" s="1"/>
  <c r="M19" i="115"/>
  <c r="M22" i="115" s="1"/>
  <c r="M24" i="115" s="1"/>
  <c r="P15" i="115"/>
  <c r="P17" i="115" s="1"/>
  <c r="Q15" i="115"/>
  <c r="Q17" i="115" s="1"/>
  <c r="Q19" i="114"/>
  <c r="Q21" i="114" s="1"/>
  <c r="O15" i="113"/>
  <c r="O17" i="113" s="1"/>
  <c r="J19" i="113"/>
  <c r="J22" i="113" s="1"/>
  <c r="J24" i="113" s="1"/>
  <c r="F19" i="113"/>
  <c r="F22" i="113" s="1"/>
  <c r="F24" i="113" s="1"/>
  <c r="N19" i="113"/>
  <c r="N22" i="113" s="1"/>
  <c r="N24" i="113" s="1"/>
  <c r="E19" i="113"/>
  <c r="E22" i="113" s="1"/>
  <c r="E24" i="113" s="1"/>
  <c r="I19" i="113"/>
  <c r="I22" i="113" s="1"/>
  <c r="I24" i="113" s="1"/>
  <c r="M19" i="113"/>
  <c r="M22" i="113" s="1"/>
  <c r="M24" i="113" s="1"/>
  <c r="P9" i="113"/>
  <c r="P15" i="113" s="1"/>
  <c r="P17" i="113" s="1"/>
  <c r="C19" i="113"/>
  <c r="G19" i="113"/>
  <c r="G22" i="113" s="1"/>
  <c r="G24" i="113" s="1"/>
  <c r="K19" i="113"/>
  <c r="K22" i="113" s="1"/>
  <c r="K24" i="113" s="1"/>
  <c r="Q15" i="111"/>
  <c r="Q17" i="111" s="1"/>
  <c r="Q19" i="111" s="1"/>
  <c r="Q22" i="111" s="1"/>
  <c r="Q24" i="111" s="1"/>
  <c r="Q26" i="111" s="1"/>
  <c r="Q28" i="111" s="1"/>
  <c r="Q29" i="111" s="1"/>
  <c r="Q31" i="111" s="1"/>
  <c r="Q32" i="111" s="1"/>
  <c r="O17" i="111"/>
  <c r="F19" i="111"/>
  <c r="F22" i="111" s="1"/>
  <c r="F24" i="111" s="1"/>
  <c r="N19" i="111"/>
  <c r="N22" i="111" s="1"/>
  <c r="N24" i="111" s="1"/>
  <c r="J19" i="111"/>
  <c r="J22" i="111" s="1"/>
  <c r="J24" i="111" s="1"/>
  <c r="E19" i="111"/>
  <c r="E22" i="111" s="1"/>
  <c r="E24" i="111" s="1"/>
  <c r="I19" i="111"/>
  <c r="I22" i="111" s="1"/>
  <c r="I24" i="111" s="1"/>
  <c r="M19" i="111"/>
  <c r="M22" i="111" s="1"/>
  <c r="M24" i="111" s="1"/>
  <c r="P15" i="111"/>
  <c r="P17" i="111" s="1"/>
  <c r="O16" i="49"/>
  <c r="O31" i="117" l="1"/>
  <c r="P31" i="117" s="1"/>
  <c r="Q31" i="117" s="1"/>
  <c r="P41" i="117"/>
  <c r="Q37" i="113"/>
  <c r="Q37" i="111"/>
  <c r="P19" i="118"/>
  <c r="P22" i="118" s="1"/>
  <c r="P24" i="118" s="1"/>
  <c r="P26" i="118" s="1"/>
  <c r="P28" i="118" s="1"/>
  <c r="P29" i="118" s="1"/>
  <c r="P31" i="118" s="1"/>
  <c r="P37" i="118"/>
  <c r="Q19" i="118"/>
  <c r="Q22" i="118" s="1"/>
  <c r="Q24" i="118" s="1"/>
  <c r="Q26" i="118" s="1"/>
  <c r="Q28" i="118" s="1"/>
  <c r="Q29" i="118" s="1"/>
  <c r="Q31" i="118" s="1"/>
  <c r="Q32" i="118" s="1"/>
  <c r="C22" i="118"/>
  <c r="C24" i="118" s="1"/>
  <c r="O19" i="118"/>
  <c r="O22" i="118" s="1"/>
  <c r="O24" i="118" s="1"/>
  <c r="O26" i="118" s="1"/>
  <c r="O28" i="118" s="1"/>
  <c r="O29" i="118" s="1"/>
  <c r="O31" i="118" s="1"/>
  <c r="Q23" i="117"/>
  <c r="Q26" i="117" s="1"/>
  <c r="Q28" i="117" s="1"/>
  <c r="Q30" i="117" s="1"/>
  <c r="Q23" i="116"/>
  <c r="Q26" i="116" s="1"/>
  <c r="Q28" i="116" s="1"/>
  <c r="Q30" i="116" s="1"/>
  <c r="Q32" i="116" s="1"/>
  <c r="Q35" i="116" s="1"/>
  <c r="P23" i="116"/>
  <c r="P26" i="116" s="1"/>
  <c r="P28" i="116" s="1"/>
  <c r="P30" i="116" s="1"/>
  <c r="P32" i="116" s="1"/>
  <c r="P35" i="116" s="1"/>
  <c r="P36" i="116" s="1"/>
  <c r="L26" i="115"/>
  <c r="L28" i="115" s="1"/>
  <c r="L29" i="115" s="1"/>
  <c r="L31" i="115" s="1"/>
  <c r="H26" i="115"/>
  <c r="H28" i="115" s="1"/>
  <c r="H29" i="115" s="1"/>
  <c r="H31" i="115" s="1"/>
  <c r="D26" i="115"/>
  <c r="D28" i="115" s="1"/>
  <c r="D29" i="115" s="1"/>
  <c r="D31" i="115" s="1"/>
  <c r="N26" i="115"/>
  <c r="N28" i="115" s="1"/>
  <c r="N29" i="115" s="1"/>
  <c r="N31" i="115" s="1"/>
  <c r="M26" i="115"/>
  <c r="M28" i="115" s="1"/>
  <c r="M29" i="115" s="1"/>
  <c r="M31" i="115" s="1"/>
  <c r="E26" i="115"/>
  <c r="E28" i="115" s="1"/>
  <c r="E29" i="115" s="1"/>
  <c r="E31" i="115" s="1"/>
  <c r="K26" i="115"/>
  <c r="K28" i="115" s="1"/>
  <c r="K29" i="115" s="1"/>
  <c r="K31" i="115" s="1"/>
  <c r="G26" i="115"/>
  <c r="G28" i="115" s="1"/>
  <c r="G29" i="115" s="1"/>
  <c r="G31" i="115" s="1"/>
  <c r="C26" i="115"/>
  <c r="C28" i="115" s="1"/>
  <c r="C29" i="115" s="1"/>
  <c r="C31" i="115" s="1"/>
  <c r="C32" i="115" s="1"/>
  <c r="J26" i="115"/>
  <c r="J28" i="115" s="1"/>
  <c r="J29" i="115" s="1"/>
  <c r="J31" i="115" s="1"/>
  <c r="F26" i="115"/>
  <c r="F28" i="115" s="1"/>
  <c r="F29" i="115" s="1"/>
  <c r="F31" i="115" s="1"/>
  <c r="I26" i="115"/>
  <c r="I28" i="115" s="1"/>
  <c r="I29" i="115" s="1"/>
  <c r="I31" i="115" s="1"/>
  <c r="O19" i="115"/>
  <c r="O22" i="115" s="1"/>
  <c r="O24" i="115" s="1"/>
  <c r="O26" i="115" s="1"/>
  <c r="O28" i="115" s="1"/>
  <c r="O29" i="115" s="1"/>
  <c r="O31" i="115" s="1"/>
  <c r="Q19" i="115"/>
  <c r="Q22" i="115" s="1"/>
  <c r="Q24" i="115" s="1"/>
  <c r="Q26" i="115" s="1"/>
  <c r="Q28" i="115" s="1"/>
  <c r="Q29" i="115" s="1"/>
  <c r="Q31" i="115" s="1"/>
  <c r="Q32" i="115" s="1"/>
  <c r="P19" i="115"/>
  <c r="P22" i="115" s="1"/>
  <c r="P24" i="115" s="1"/>
  <c r="P26" i="115" s="1"/>
  <c r="P28" i="115" s="1"/>
  <c r="P29" i="115" s="1"/>
  <c r="P31" i="115" s="1"/>
  <c r="P32" i="115" s="1"/>
  <c r="P41" i="114"/>
  <c r="Q23" i="114"/>
  <c r="Q26" i="114" s="1"/>
  <c r="Q28" i="114" s="1"/>
  <c r="Q30" i="114" s="1"/>
  <c r="Q32" i="114" s="1"/>
  <c r="Q35" i="114" s="1"/>
  <c r="Q36" i="114" s="1"/>
  <c r="P19" i="113"/>
  <c r="P22" i="113" s="1"/>
  <c r="P24" i="113" s="1"/>
  <c r="P26" i="113" s="1"/>
  <c r="P28" i="113" s="1"/>
  <c r="P29" i="113" s="1"/>
  <c r="P31" i="113" s="1"/>
  <c r="P32" i="113" s="1"/>
  <c r="C22" i="113"/>
  <c r="C24" i="113" s="1"/>
  <c r="O19" i="113"/>
  <c r="O22" i="113" s="1"/>
  <c r="O24" i="113" s="1"/>
  <c r="O26" i="113" s="1"/>
  <c r="O28" i="113" s="1"/>
  <c r="O29" i="113" s="1"/>
  <c r="O31" i="113" s="1"/>
  <c r="L26" i="111"/>
  <c r="L28" i="111" s="1"/>
  <c r="L29" i="111" s="1"/>
  <c r="L31" i="111" s="1"/>
  <c r="H26" i="111"/>
  <c r="H28" i="111" s="1"/>
  <c r="H29" i="111" s="1"/>
  <c r="H31" i="111" s="1"/>
  <c r="D26" i="111"/>
  <c r="D28" i="111" s="1"/>
  <c r="D29" i="111" s="1"/>
  <c r="D31" i="111" s="1"/>
  <c r="K26" i="111"/>
  <c r="K28" i="111" s="1"/>
  <c r="K29" i="111" s="1"/>
  <c r="K31" i="111" s="1"/>
  <c r="G26" i="111"/>
  <c r="G28" i="111" s="1"/>
  <c r="G29" i="111" s="1"/>
  <c r="G31" i="111" s="1"/>
  <c r="C26" i="111"/>
  <c r="C28" i="111" s="1"/>
  <c r="C29" i="111" s="1"/>
  <c r="C31" i="111" s="1"/>
  <c r="C32" i="111" s="1"/>
  <c r="N26" i="111"/>
  <c r="N28" i="111" s="1"/>
  <c r="N29" i="111" s="1"/>
  <c r="N31" i="111" s="1"/>
  <c r="F26" i="111"/>
  <c r="F28" i="111" s="1"/>
  <c r="F29" i="111" s="1"/>
  <c r="F31" i="111" s="1"/>
  <c r="M26" i="111"/>
  <c r="M28" i="111" s="1"/>
  <c r="M29" i="111" s="1"/>
  <c r="M31" i="111" s="1"/>
  <c r="E26" i="111"/>
  <c r="E28" i="111" s="1"/>
  <c r="E29" i="111" s="1"/>
  <c r="E31" i="111" s="1"/>
  <c r="J26" i="111"/>
  <c r="J28" i="111" s="1"/>
  <c r="J29" i="111" s="1"/>
  <c r="J31" i="111" s="1"/>
  <c r="I26" i="111"/>
  <c r="I28" i="111" s="1"/>
  <c r="I29" i="111" s="1"/>
  <c r="I31" i="111" s="1"/>
  <c r="P19" i="111"/>
  <c r="P22" i="111" s="1"/>
  <c r="P24" i="111" s="1"/>
  <c r="P26" i="111" s="1"/>
  <c r="P28" i="111" s="1"/>
  <c r="P29" i="111" s="1"/>
  <c r="P31" i="111" s="1"/>
  <c r="P32" i="111" s="1"/>
  <c r="O19" i="111"/>
  <c r="O22" i="111" s="1"/>
  <c r="O24" i="111" s="1"/>
  <c r="O26" i="111" s="1"/>
  <c r="O28" i="111" s="1"/>
  <c r="O29" i="111" s="1"/>
  <c r="O31" i="111" s="1"/>
  <c r="Q32" i="117" l="1"/>
  <c r="O32" i="117"/>
  <c r="O33" i="117" s="1"/>
  <c r="O35" i="117" s="1"/>
  <c r="P32" i="117"/>
  <c r="Q36" i="116"/>
  <c r="N9" i="29"/>
  <c r="D32" i="111"/>
  <c r="D37" i="111" s="1"/>
  <c r="D32" i="115"/>
  <c r="D37" i="115" s="1"/>
  <c r="Q37" i="115"/>
  <c r="Q41" i="114"/>
  <c r="C37" i="115"/>
  <c r="N72" i="29"/>
  <c r="C37" i="111"/>
  <c r="N41" i="29"/>
  <c r="P35" i="118"/>
  <c r="Q37" i="118"/>
  <c r="N26" i="118"/>
  <c r="N28" i="118" s="1"/>
  <c r="N29" i="118" s="1"/>
  <c r="N31" i="118" s="1"/>
  <c r="J26" i="118"/>
  <c r="J28" i="118" s="1"/>
  <c r="J29" i="118" s="1"/>
  <c r="J31" i="118" s="1"/>
  <c r="F26" i="118"/>
  <c r="F28" i="118" s="1"/>
  <c r="F29" i="118" s="1"/>
  <c r="F31" i="118" s="1"/>
  <c r="G26" i="118"/>
  <c r="G28" i="118" s="1"/>
  <c r="G29" i="118" s="1"/>
  <c r="G31" i="118" s="1"/>
  <c r="M26" i="118"/>
  <c r="M28" i="118" s="1"/>
  <c r="M29" i="118" s="1"/>
  <c r="M31" i="118" s="1"/>
  <c r="I26" i="118"/>
  <c r="I28" i="118" s="1"/>
  <c r="I29" i="118" s="1"/>
  <c r="I31" i="118" s="1"/>
  <c r="E26" i="118"/>
  <c r="E28" i="118" s="1"/>
  <c r="E29" i="118" s="1"/>
  <c r="E31" i="118" s="1"/>
  <c r="C26" i="118"/>
  <c r="C28" i="118" s="1"/>
  <c r="C29" i="118" s="1"/>
  <c r="C31" i="118" s="1"/>
  <c r="L26" i="118"/>
  <c r="L28" i="118" s="1"/>
  <c r="L29" i="118" s="1"/>
  <c r="L31" i="118" s="1"/>
  <c r="H26" i="118"/>
  <c r="H28" i="118" s="1"/>
  <c r="H29" i="118" s="1"/>
  <c r="H31" i="118" s="1"/>
  <c r="D26" i="118"/>
  <c r="D28" i="118" s="1"/>
  <c r="D29" i="118" s="1"/>
  <c r="D31" i="118" s="1"/>
  <c r="K26" i="118"/>
  <c r="K28" i="118" s="1"/>
  <c r="K29" i="118" s="1"/>
  <c r="K31" i="118" s="1"/>
  <c r="P37" i="116"/>
  <c r="V73" i="29" s="1"/>
  <c r="P41" i="116"/>
  <c r="P33" i="115"/>
  <c r="V72" i="29" s="1"/>
  <c r="P37" i="115"/>
  <c r="P37" i="114"/>
  <c r="V71" i="29" s="1"/>
  <c r="P33" i="113"/>
  <c r="P37" i="113"/>
  <c r="L26" i="113"/>
  <c r="L28" i="113" s="1"/>
  <c r="L29" i="113" s="1"/>
  <c r="L31" i="113" s="1"/>
  <c r="H26" i="113"/>
  <c r="H28" i="113" s="1"/>
  <c r="H29" i="113" s="1"/>
  <c r="H31" i="113" s="1"/>
  <c r="D26" i="113"/>
  <c r="D28" i="113" s="1"/>
  <c r="D29" i="113" s="1"/>
  <c r="D31" i="113" s="1"/>
  <c r="G26" i="113"/>
  <c r="G28" i="113" s="1"/>
  <c r="G29" i="113" s="1"/>
  <c r="G31" i="113" s="1"/>
  <c r="C26" i="113"/>
  <c r="C28" i="113" s="1"/>
  <c r="C29" i="113" s="1"/>
  <c r="C31" i="113" s="1"/>
  <c r="C32" i="113" s="1"/>
  <c r="K26" i="113"/>
  <c r="K28" i="113" s="1"/>
  <c r="K29" i="113" s="1"/>
  <c r="K31" i="113" s="1"/>
  <c r="N26" i="113"/>
  <c r="N28" i="113" s="1"/>
  <c r="N29" i="113" s="1"/>
  <c r="N31" i="113" s="1"/>
  <c r="J26" i="113"/>
  <c r="J28" i="113" s="1"/>
  <c r="J29" i="113" s="1"/>
  <c r="J31" i="113" s="1"/>
  <c r="F26" i="113"/>
  <c r="F28" i="113" s="1"/>
  <c r="F29" i="113" s="1"/>
  <c r="F31" i="113" s="1"/>
  <c r="M26" i="113"/>
  <c r="M28" i="113" s="1"/>
  <c r="M29" i="113" s="1"/>
  <c r="M31" i="113" s="1"/>
  <c r="I26" i="113"/>
  <c r="I28" i="113" s="1"/>
  <c r="I29" i="113" s="1"/>
  <c r="I31" i="113" s="1"/>
  <c r="E26" i="113"/>
  <c r="E28" i="113" s="1"/>
  <c r="E29" i="113" s="1"/>
  <c r="E31" i="113" s="1"/>
  <c r="P33" i="111"/>
  <c r="P37" i="111"/>
  <c r="U65" i="29"/>
  <c r="U64" i="29"/>
  <c r="U66" i="29"/>
  <c r="U68" i="29"/>
  <c r="U31" i="29"/>
  <c r="U53" i="29"/>
  <c r="U19" i="29"/>
  <c r="U56" i="29"/>
  <c r="U52" i="29"/>
  <c r="U48" i="29"/>
  <c r="U24" i="29"/>
  <c r="U69" i="29"/>
  <c r="U70" i="29"/>
  <c r="U58" i="29"/>
  <c r="U40" i="29"/>
  <c r="U57" i="29"/>
  <c r="U14" i="29"/>
  <c r="U22" i="29"/>
  <c r="U30" i="29"/>
  <c r="U45" i="29"/>
  <c r="U42" i="29"/>
  <c r="U47" i="29"/>
  <c r="U62" i="29"/>
  <c r="U39" i="29"/>
  <c r="U11" i="29"/>
  <c r="U59" i="29"/>
  <c r="U60" i="29"/>
  <c r="U26" i="29"/>
  <c r="U12" i="29"/>
  <c r="U37" i="29"/>
  <c r="U35" i="29"/>
  <c r="U46" i="29"/>
  <c r="U61" i="29"/>
  <c r="U54" i="29"/>
  <c r="U21" i="29"/>
  <c r="U20" i="29"/>
  <c r="U51" i="29"/>
  <c r="U33" i="29"/>
  <c r="U29" i="29"/>
  <c r="U55" i="29"/>
  <c r="U23" i="29"/>
  <c r="U17" i="29"/>
  <c r="U13" i="29"/>
  <c r="U38" i="29"/>
  <c r="U63" i="29"/>
  <c r="U25" i="29"/>
  <c r="U27" i="29"/>
  <c r="Q14" i="109"/>
  <c r="P14" i="109" s="1"/>
  <c r="Q13" i="109"/>
  <c r="P13" i="109" s="1"/>
  <c r="Q12" i="109"/>
  <c r="P12" i="109" s="1"/>
  <c r="Q11" i="109"/>
  <c r="P11" i="109" s="1"/>
  <c r="Q10" i="109"/>
  <c r="P10" i="109" s="1"/>
  <c r="Q9" i="109"/>
  <c r="Q14" i="108"/>
  <c r="P14" i="108" s="1"/>
  <c r="Q13" i="108"/>
  <c r="P13" i="108" s="1"/>
  <c r="Q12" i="108"/>
  <c r="P12" i="108" s="1"/>
  <c r="Q11" i="108"/>
  <c r="P11" i="108" s="1"/>
  <c r="Q10" i="108"/>
  <c r="P10" i="108" s="1"/>
  <c r="Q9" i="108"/>
  <c r="Q18" i="106"/>
  <c r="P18" i="106" s="1"/>
  <c r="Q17" i="106"/>
  <c r="P17" i="106" s="1"/>
  <c r="Q16" i="106"/>
  <c r="P16" i="106" s="1"/>
  <c r="Q15" i="106"/>
  <c r="P15" i="106" s="1"/>
  <c r="Q14" i="106"/>
  <c r="P14" i="106" s="1"/>
  <c r="Q18" i="105"/>
  <c r="P18" i="105" s="1"/>
  <c r="Q17" i="105"/>
  <c r="P17" i="105" s="1"/>
  <c r="Q16" i="105"/>
  <c r="P16" i="105" s="1"/>
  <c r="Q15" i="105"/>
  <c r="P15" i="105" s="1"/>
  <c r="Q14" i="105"/>
  <c r="P14" i="105" s="1"/>
  <c r="Q13" i="105"/>
  <c r="Q14" i="104"/>
  <c r="P14" i="104" s="1"/>
  <c r="Q13" i="104"/>
  <c r="P13" i="104" s="1"/>
  <c r="Q12" i="104"/>
  <c r="P12" i="104" s="1"/>
  <c r="Q11" i="104"/>
  <c r="P11" i="104" s="1"/>
  <c r="Q10" i="104"/>
  <c r="P10" i="104" s="1"/>
  <c r="Q9" i="104"/>
  <c r="Q18" i="103"/>
  <c r="P18" i="103" s="1"/>
  <c r="Q17" i="103"/>
  <c r="P17" i="103" s="1"/>
  <c r="Q16" i="103"/>
  <c r="P16" i="103" s="1"/>
  <c r="Q15" i="103"/>
  <c r="P15" i="103" s="1"/>
  <c r="Q14" i="103"/>
  <c r="P14" i="103" s="1"/>
  <c r="Q18" i="102"/>
  <c r="P18" i="102" s="1"/>
  <c r="Q17" i="102"/>
  <c r="P17" i="102" s="1"/>
  <c r="Q16" i="102"/>
  <c r="P16" i="102" s="1"/>
  <c r="Q15" i="102"/>
  <c r="P15" i="102" s="1"/>
  <c r="Q14" i="102"/>
  <c r="P14" i="102" s="1"/>
  <c r="Q13" i="102"/>
  <c r="Q18" i="98"/>
  <c r="P18" i="98" s="1"/>
  <c r="Q17" i="98"/>
  <c r="P17" i="98" s="1"/>
  <c r="Q16" i="98"/>
  <c r="P16" i="98" s="1"/>
  <c r="Q15" i="98"/>
  <c r="P15" i="98" s="1"/>
  <c r="Q14" i="98"/>
  <c r="P14" i="98" s="1"/>
  <c r="Q14" i="94"/>
  <c r="P14" i="94" s="1"/>
  <c r="Q13" i="94"/>
  <c r="P13" i="94" s="1"/>
  <c r="Q12" i="94"/>
  <c r="P12" i="94" s="1"/>
  <c r="Q11" i="94"/>
  <c r="P11" i="94" s="1"/>
  <c r="Q10" i="94"/>
  <c r="P10" i="94" s="1"/>
  <c r="Q9" i="94"/>
  <c r="Q14" i="93"/>
  <c r="P14" i="93" s="1"/>
  <c r="Q13" i="93"/>
  <c r="P13" i="93" s="1"/>
  <c r="Q12" i="93"/>
  <c r="P12" i="93" s="1"/>
  <c r="Q11" i="93"/>
  <c r="P11" i="93" s="1"/>
  <c r="Q10" i="93"/>
  <c r="P10" i="93" s="1"/>
  <c r="Q9" i="93"/>
  <c r="P9" i="93" s="1"/>
  <c r="Q14" i="92"/>
  <c r="P14" i="92" s="1"/>
  <c r="Q13" i="92"/>
  <c r="P13" i="92" s="1"/>
  <c r="Q12" i="92"/>
  <c r="P12" i="92" s="1"/>
  <c r="Q11" i="92"/>
  <c r="P11" i="92" s="1"/>
  <c r="Q10" i="92"/>
  <c r="P10" i="92" s="1"/>
  <c r="Q9" i="92"/>
  <c r="Q14" i="91"/>
  <c r="P14" i="91" s="1"/>
  <c r="Q13" i="91"/>
  <c r="P13" i="91" s="1"/>
  <c r="Q12" i="91"/>
  <c r="P12" i="91" s="1"/>
  <c r="Q11" i="91"/>
  <c r="P11" i="91" s="1"/>
  <c r="Q10" i="91"/>
  <c r="P10" i="91" s="1"/>
  <c r="Q9" i="91"/>
  <c r="Q18" i="90"/>
  <c r="P18" i="90" s="1"/>
  <c r="Q17" i="90"/>
  <c r="P17" i="90" s="1"/>
  <c r="Q16" i="90"/>
  <c r="P16" i="90" s="1"/>
  <c r="Q15" i="90"/>
  <c r="P15" i="90" s="1"/>
  <c r="Q14" i="90"/>
  <c r="P14" i="90" s="1"/>
  <c r="Q18" i="89"/>
  <c r="P18" i="89" s="1"/>
  <c r="Q17" i="89"/>
  <c r="P17" i="89" s="1"/>
  <c r="Q16" i="89"/>
  <c r="P16" i="89" s="1"/>
  <c r="Q15" i="89"/>
  <c r="P15" i="89" s="1"/>
  <c r="Q14" i="89"/>
  <c r="P14" i="89" s="1"/>
  <c r="Q13" i="89"/>
  <c r="Q14" i="101"/>
  <c r="P14" i="101" s="1"/>
  <c r="Q13" i="101"/>
  <c r="P13" i="101" s="1"/>
  <c r="Q12" i="101"/>
  <c r="P12" i="101" s="1"/>
  <c r="Q11" i="101"/>
  <c r="P11" i="101" s="1"/>
  <c r="Q10" i="101"/>
  <c r="P10" i="101" s="1"/>
  <c r="Q9" i="101"/>
  <c r="Q18" i="97"/>
  <c r="P18" i="97" s="1"/>
  <c r="Q17" i="97"/>
  <c r="P17" i="97" s="1"/>
  <c r="Q16" i="97"/>
  <c r="P16" i="97" s="1"/>
  <c r="Q15" i="97"/>
  <c r="P15" i="97" s="1"/>
  <c r="Q14" i="97"/>
  <c r="P14" i="97" s="1"/>
  <c r="Q13" i="97"/>
  <c r="Q18" i="83"/>
  <c r="P18" i="83" s="1"/>
  <c r="Q17" i="83"/>
  <c r="P17" i="83" s="1"/>
  <c r="Q16" i="83"/>
  <c r="P16" i="83" s="1"/>
  <c r="Q15" i="83"/>
  <c r="P15" i="83" s="1"/>
  <c r="Q14" i="83"/>
  <c r="P14" i="83" s="1"/>
  <c r="P13" i="83"/>
  <c r="Q18" i="81"/>
  <c r="P18" i="81" s="1"/>
  <c r="Q17" i="81"/>
  <c r="P17" i="81" s="1"/>
  <c r="Q16" i="81"/>
  <c r="P16" i="81" s="1"/>
  <c r="Q15" i="81"/>
  <c r="P15" i="81" s="1"/>
  <c r="Q14" i="81"/>
  <c r="P14" i="81" s="1"/>
  <c r="Q18" i="96"/>
  <c r="P18" i="96" s="1"/>
  <c r="Q17" i="96"/>
  <c r="P17" i="96" s="1"/>
  <c r="Q16" i="96"/>
  <c r="P16" i="96" s="1"/>
  <c r="Q15" i="96"/>
  <c r="P15" i="96" s="1"/>
  <c r="Q14" i="96"/>
  <c r="P14" i="96" s="1"/>
  <c r="P13" i="96"/>
  <c r="Q14" i="82"/>
  <c r="P14" i="82" s="1"/>
  <c r="Q13" i="82"/>
  <c r="P13" i="82" s="1"/>
  <c r="Q12" i="82"/>
  <c r="P12" i="82" s="1"/>
  <c r="Q11" i="82"/>
  <c r="P11" i="82" s="1"/>
  <c r="Q10" i="82"/>
  <c r="P10" i="82" s="1"/>
  <c r="Q9" i="82"/>
  <c r="Q14" i="80"/>
  <c r="P14" i="80" s="1"/>
  <c r="Q13" i="80"/>
  <c r="P13" i="80" s="1"/>
  <c r="Q12" i="80"/>
  <c r="P12" i="80" s="1"/>
  <c r="Q11" i="80"/>
  <c r="P11" i="80" s="1"/>
  <c r="Q10" i="80"/>
  <c r="P10" i="80" s="1"/>
  <c r="Q9" i="80"/>
  <c r="Q18" i="79"/>
  <c r="P18" i="79" s="1"/>
  <c r="Q17" i="79"/>
  <c r="P17" i="79" s="1"/>
  <c r="Q16" i="79"/>
  <c r="P16" i="79" s="1"/>
  <c r="Q15" i="79"/>
  <c r="P15" i="79" s="1"/>
  <c r="Q14" i="79"/>
  <c r="P14" i="79" s="1"/>
  <c r="Q14" i="78"/>
  <c r="P14" i="78" s="1"/>
  <c r="Q13" i="78"/>
  <c r="P13" i="78" s="1"/>
  <c r="Q12" i="78"/>
  <c r="P12" i="78" s="1"/>
  <c r="Q11" i="78"/>
  <c r="P11" i="78" s="1"/>
  <c r="Q10" i="78"/>
  <c r="P10" i="78" s="1"/>
  <c r="Q9" i="78"/>
  <c r="Q18" i="100"/>
  <c r="P18" i="100" s="1"/>
  <c r="Q17" i="100"/>
  <c r="P17" i="100" s="1"/>
  <c r="Q16" i="100"/>
  <c r="P16" i="100" s="1"/>
  <c r="Q15" i="100"/>
  <c r="P15" i="100" s="1"/>
  <c r="Q14" i="100"/>
  <c r="P14" i="100" s="1"/>
  <c r="Q13" i="100"/>
  <c r="Q14" i="77"/>
  <c r="P14" i="77" s="1"/>
  <c r="Q13" i="77"/>
  <c r="P13" i="77" s="1"/>
  <c r="Q12" i="77"/>
  <c r="P12" i="77" s="1"/>
  <c r="Q11" i="77"/>
  <c r="P11" i="77" s="1"/>
  <c r="Q10" i="77"/>
  <c r="P10" i="77" s="1"/>
  <c r="Q9" i="77"/>
  <c r="Q18" i="76"/>
  <c r="P18" i="76" s="1"/>
  <c r="Q17" i="76"/>
  <c r="P17" i="76" s="1"/>
  <c r="Q16" i="76"/>
  <c r="P16" i="76" s="1"/>
  <c r="Q15" i="76"/>
  <c r="P15" i="76" s="1"/>
  <c r="Q14" i="76"/>
  <c r="P14" i="76" s="1"/>
  <c r="Q14" i="75"/>
  <c r="P14" i="75" s="1"/>
  <c r="Q13" i="75"/>
  <c r="P13" i="75" s="1"/>
  <c r="Q12" i="75"/>
  <c r="P12" i="75" s="1"/>
  <c r="Q11" i="75"/>
  <c r="P11" i="75" s="1"/>
  <c r="Q10" i="75"/>
  <c r="P10" i="75" s="1"/>
  <c r="Q9" i="75"/>
  <c r="Q14" i="74"/>
  <c r="P14" i="74" s="1"/>
  <c r="Q13" i="74"/>
  <c r="P13" i="74" s="1"/>
  <c r="Q12" i="74"/>
  <c r="P12" i="74" s="1"/>
  <c r="Q11" i="74"/>
  <c r="P11" i="74" s="1"/>
  <c r="Q10" i="74"/>
  <c r="P10" i="74" s="1"/>
  <c r="Q9" i="74"/>
  <c r="Q18" i="73"/>
  <c r="P18" i="73" s="1"/>
  <c r="Q17" i="73"/>
  <c r="P17" i="73" s="1"/>
  <c r="Q16" i="73"/>
  <c r="P16" i="73" s="1"/>
  <c r="Q15" i="73"/>
  <c r="P15" i="73" s="1"/>
  <c r="Q14" i="73"/>
  <c r="P14" i="73" s="1"/>
  <c r="Q18" i="72"/>
  <c r="P18" i="72" s="1"/>
  <c r="Q17" i="72"/>
  <c r="P17" i="72" s="1"/>
  <c r="Q16" i="72"/>
  <c r="P16" i="72" s="1"/>
  <c r="Q15" i="72"/>
  <c r="P15" i="72" s="1"/>
  <c r="Q14" i="72"/>
  <c r="P14" i="72" s="1"/>
  <c r="Q18" i="71"/>
  <c r="P18" i="71" s="1"/>
  <c r="Q17" i="71"/>
  <c r="P17" i="71" s="1"/>
  <c r="Q16" i="71"/>
  <c r="P16" i="71" s="1"/>
  <c r="Q15" i="71"/>
  <c r="P15" i="71" s="1"/>
  <c r="Q14" i="71"/>
  <c r="P14" i="71" s="1"/>
  <c r="Q18" i="70"/>
  <c r="P18" i="70" s="1"/>
  <c r="Q17" i="70"/>
  <c r="P17" i="70" s="1"/>
  <c r="Q16" i="70"/>
  <c r="P16" i="70" s="1"/>
  <c r="Q15" i="70"/>
  <c r="P15" i="70" s="1"/>
  <c r="Q14" i="70"/>
  <c r="P14" i="70" s="1"/>
  <c r="P13" i="70"/>
  <c r="Q18" i="69"/>
  <c r="P18" i="69" s="1"/>
  <c r="Q17" i="69"/>
  <c r="P17" i="69" s="1"/>
  <c r="Q16" i="69"/>
  <c r="P16" i="69" s="1"/>
  <c r="Q15" i="69"/>
  <c r="P15" i="69" s="1"/>
  <c r="Q14" i="69"/>
  <c r="P14" i="69" s="1"/>
  <c r="Q18" i="68"/>
  <c r="P18" i="68" s="1"/>
  <c r="Q17" i="68"/>
  <c r="P17" i="68" s="1"/>
  <c r="Q16" i="68"/>
  <c r="P16" i="68" s="1"/>
  <c r="Q15" i="68"/>
  <c r="P15" i="68" s="1"/>
  <c r="Q14" i="68"/>
  <c r="P14" i="68" s="1"/>
  <c r="Q18" i="66"/>
  <c r="P18" i="66" s="1"/>
  <c r="Q17" i="66"/>
  <c r="P17" i="66" s="1"/>
  <c r="Q16" i="66"/>
  <c r="P16" i="66" s="1"/>
  <c r="Q15" i="66"/>
  <c r="P15" i="66" s="1"/>
  <c r="Q14" i="66"/>
  <c r="P14" i="66" s="1"/>
  <c r="Q18" i="67"/>
  <c r="P18" i="67" s="1"/>
  <c r="Q17" i="67"/>
  <c r="P17" i="67" s="1"/>
  <c r="Q16" i="67"/>
  <c r="P16" i="67" s="1"/>
  <c r="Q15" i="67"/>
  <c r="P15" i="67" s="1"/>
  <c r="Q14" i="67"/>
  <c r="P14" i="67" s="1"/>
  <c r="Q18" i="65"/>
  <c r="P18" i="65" s="1"/>
  <c r="Q17" i="65"/>
  <c r="P17" i="65" s="1"/>
  <c r="Q16" i="65"/>
  <c r="P16" i="65" s="1"/>
  <c r="Q15" i="65"/>
  <c r="P15" i="65" s="1"/>
  <c r="Q14" i="65"/>
  <c r="P14" i="65" s="1"/>
  <c r="P13" i="65"/>
  <c r="Q18" i="64"/>
  <c r="P18" i="64" s="1"/>
  <c r="Q17" i="64"/>
  <c r="P17" i="64" s="1"/>
  <c r="Q16" i="64"/>
  <c r="P16" i="64" s="1"/>
  <c r="Q15" i="64"/>
  <c r="P15" i="64" s="1"/>
  <c r="Q14" i="64"/>
  <c r="P14" i="64" s="1"/>
  <c r="Q18" i="63"/>
  <c r="P18" i="63" s="1"/>
  <c r="Q17" i="63"/>
  <c r="P17" i="63" s="1"/>
  <c r="Q16" i="63"/>
  <c r="P16" i="63" s="1"/>
  <c r="Q15" i="63"/>
  <c r="P15" i="63" s="1"/>
  <c r="Q14" i="63"/>
  <c r="P14" i="63" s="1"/>
  <c r="Q13" i="63"/>
  <c r="Q18" i="62"/>
  <c r="P18" i="62" s="1"/>
  <c r="Q17" i="62"/>
  <c r="P17" i="62" s="1"/>
  <c r="Q16" i="62"/>
  <c r="P16" i="62" s="1"/>
  <c r="Q15" i="62"/>
  <c r="P15" i="62" s="1"/>
  <c r="Q14" i="62"/>
  <c r="P14" i="62" s="1"/>
  <c r="Q18" i="61"/>
  <c r="P18" i="61" s="1"/>
  <c r="Q17" i="61"/>
  <c r="P17" i="61" s="1"/>
  <c r="Q16" i="61"/>
  <c r="P16" i="61" s="1"/>
  <c r="Q15" i="61"/>
  <c r="P15" i="61" s="1"/>
  <c r="Q14" i="61"/>
  <c r="P14" i="61" s="1"/>
  <c r="P13" i="61"/>
  <c r="Q18" i="60"/>
  <c r="P18" i="60" s="1"/>
  <c r="Q17" i="60"/>
  <c r="P17" i="60" s="1"/>
  <c r="Q16" i="60"/>
  <c r="P16" i="60" s="1"/>
  <c r="Q15" i="60"/>
  <c r="P15" i="60" s="1"/>
  <c r="Q14" i="60"/>
  <c r="P14" i="60" s="1"/>
  <c r="Q18" i="95"/>
  <c r="P18" i="95" s="1"/>
  <c r="Q17" i="95"/>
  <c r="P17" i="95" s="1"/>
  <c r="P16" i="95"/>
  <c r="Q15" i="95"/>
  <c r="P15" i="95" s="1"/>
  <c r="Q14" i="95"/>
  <c r="P14" i="95" s="1"/>
  <c r="P13" i="95"/>
  <c r="Q14" i="59"/>
  <c r="P14" i="59" s="1"/>
  <c r="Q13" i="59"/>
  <c r="P13" i="59" s="1"/>
  <c r="Q11" i="59"/>
  <c r="P11" i="59" s="1"/>
  <c r="Q10" i="59"/>
  <c r="P10" i="59" s="1"/>
  <c r="Q9" i="59"/>
  <c r="Q18" i="58"/>
  <c r="P18" i="58" s="1"/>
  <c r="Q17" i="58"/>
  <c r="P17" i="58" s="1"/>
  <c r="Q15" i="58"/>
  <c r="P15" i="58" s="1"/>
  <c r="Q14" i="58"/>
  <c r="P14" i="58" s="1"/>
  <c r="Q18" i="57"/>
  <c r="P18" i="57" s="1"/>
  <c r="Q17" i="57"/>
  <c r="P17" i="57" s="1"/>
  <c r="Q16" i="57"/>
  <c r="P16" i="57" s="1"/>
  <c r="Q15" i="57"/>
  <c r="P15" i="57" s="1"/>
  <c r="Q14" i="57"/>
  <c r="P14" i="57" s="1"/>
  <c r="P13" i="57"/>
  <c r="Q18" i="56"/>
  <c r="P18" i="56" s="1"/>
  <c r="Q17" i="56"/>
  <c r="P17" i="56" s="1"/>
  <c r="Q15" i="56"/>
  <c r="P15" i="56" s="1"/>
  <c r="Q14" i="56"/>
  <c r="P14" i="56" s="1"/>
  <c r="Q18" i="55"/>
  <c r="P18" i="55" s="1"/>
  <c r="Q17" i="55"/>
  <c r="P17" i="55" s="1"/>
  <c r="P16" i="55"/>
  <c r="Q15" i="55"/>
  <c r="P15" i="55" s="1"/>
  <c r="Q14" i="55"/>
  <c r="P14" i="55" s="1"/>
  <c r="Q18" i="54"/>
  <c r="P18" i="54" s="1"/>
  <c r="Q17" i="54"/>
  <c r="P17" i="54" s="1"/>
  <c r="Q15" i="54"/>
  <c r="P15" i="54" s="1"/>
  <c r="Q14" i="54"/>
  <c r="P14" i="54" s="1"/>
  <c r="Q13" i="54"/>
  <c r="P13" i="54" s="1"/>
  <c r="U34" i="29"/>
  <c r="Q18" i="53"/>
  <c r="P18" i="53" s="1"/>
  <c r="Q17" i="53"/>
  <c r="P17" i="53" s="1"/>
  <c r="Q16" i="53"/>
  <c r="P16" i="53" s="1"/>
  <c r="Q15" i="53"/>
  <c r="P15" i="53" s="1"/>
  <c r="Q14" i="53"/>
  <c r="P14" i="53" s="1"/>
  <c r="P13" i="53"/>
  <c r="U50" i="29"/>
  <c r="Q18" i="52"/>
  <c r="P18" i="52" s="1"/>
  <c r="Q17" i="52"/>
  <c r="P17" i="52" s="1"/>
  <c r="Q16" i="52"/>
  <c r="P16" i="52" s="1"/>
  <c r="Q15" i="52"/>
  <c r="P15" i="52" s="1"/>
  <c r="Q14" i="52"/>
  <c r="P14" i="52" s="1"/>
  <c r="U44" i="29"/>
  <c r="Q18" i="51"/>
  <c r="P18" i="51" s="1"/>
  <c r="Q17" i="51"/>
  <c r="P17" i="51" s="1"/>
  <c r="Q16" i="51"/>
  <c r="P16" i="51" s="1"/>
  <c r="Q15" i="51"/>
  <c r="P15" i="51" s="1"/>
  <c r="Q14" i="51"/>
  <c r="P14" i="51" s="1"/>
  <c r="U49" i="29"/>
  <c r="Q18" i="50"/>
  <c r="P18" i="50" s="1"/>
  <c r="Q17" i="50"/>
  <c r="P17" i="50" s="1"/>
  <c r="Q16" i="50"/>
  <c r="P16" i="50" s="1"/>
  <c r="Q15" i="50"/>
  <c r="P15" i="50" s="1"/>
  <c r="Q14" i="50"/>
  <c r="P14" i="50" s="1"/>
  <c r="U32" i="29"/>
  <c r="Q18" i="49"/>
  <c r="P18" i="49" s="1"/>
  <c r="Q17" i="49"/>
  <c r="P17" i="49" s="1"/>
  <c r="Q16" i="49"/>
  <c r="P16" i="49" s="1"/>
  <c r="Q15" i="49"/>
  <c r="P15" i="49" s="1"/>
  <c r="Q14" i="49"/>
  <c r="P14" i="49" s="1"/>
  <c r="U18" i="29"/>
  <c r="Q18" i="48"/>
  <c r="P18" i="48" s="1"/>
  <c r="Q17" i="48"/>
  <c r="P17" i="48" s="1"/>
  <c r="P16" i="48"/>
  <c r="Q15" i="48"/>
  <c r="P15" i="48" s="1"/>
  <c r="Q14" i="48"/>
  <c r="P14" i="48" s="1"/>
  <c r="U36" i="29"/>
  <c r="Q18" i="47"/>
  <c r="P18" i="47" s="1"/>
  <c r="Q17" i="47"/>
  <c r="P17" i="47" s="1"/>
  <c r="Q15" i="47"/>
  <c r="P15" i="47" s="1"/>
  <c r="Q14" i="47"/>
  <c r="P14" i="47" s="1"/>
  <c r="Q18" i="3"/>
  <c r="P18" i="3" s="1"/>
  <c r="Q17" i="3"/>
  <c r="P17" i="3" s="1"/>
  <c r="Q15" i="3"/>
  <c r="P15" i="3" s="1"/>
  <c r="Q14" i="3"/>
  <c r="P14" i="3" s="1"/>
  <c r="P13" i="3"/>
  <c r="Q18" i="87"/>
  <c r="P18" i="87" s="1"/>
  <c r="Q17" i="87"/>
  <c r="P17" i="87" s="1"/>
  <c r="Q16" i="87"/>
  <c r="P16" i="87" s="1"/>
  <c r="Q15" i="87"/>
  <c r="P15" i="87" s="1"/>
  <c r="Q14" i="87"/>
  <c r="P14" i="87" s="1"/>
  <c r="P13" i="87"/>
  <c r="P13" i="85"/>
  <c r="P19" i="85" s="1"/>
  <c r="P21" i="85" s="1"/>
  <c r="P13" i="84"/>
  <c r="P19" i="84" s="1"/>
  <c r="P21" i="84" s="1"/>
  <c r="Q15" i="88"/>
  <c r="Q17" i="88" s="1"/>
  <c r="P33" i="117" l="1"/>
  <c r="P35" i="117" s="1"/>
  <c r="Q33" i="117"/>
  <c r="Q35" i="117" s="1"/>
  <c r="Q36" i="117" s="1"/>
  <c r="Q41" i="116"/>
  <c r="C41" i="117"/>
  <c r="P72" i="29"/>
  <c r="C32" i="118"/>
  <c r="N10" i="29" s="1"/>
  <c r="E32" i="111"/>
  <c r="F32" i="111" s="1"/>
  <c r="D32" i="113"/>
  <c r="E32" i="113" s="1"/>
  <c r="V67" i="29"/>
  <c r="N73" i="29"/>
  <c r="E32" i="115"/>
  <c r="R72" i="29" s="1"/>
  <c r="Q19" i="84"/>
  <c r="Q21" i="84" s="1"/>
  <c r="Q23" i="84" s="1"/>
  <c r="Q26" i="84" s="1"/>
  <c r="Q28" i="84" s="1"/>
  <c r="Q30" i="84" s="1"/>
  <c r="Q32" i="84" s="1"/>
  <c r="Q35" i="84" s="1"/>
  <c r="V41" i="29"/>
  <c r="C37" i="113"/>
  <c r="N67" i="29"/>
  <c r="Q19" i="48"/>
  <c r="Q21" i="48" s="1"/>
  <c r="Q23" i="48" s="1"/>
  <c r="Q26" i="48" s="1"/>
  <c r="Q28" i="48" s="1"/>
  <c r="Q30" i="48" s="1"/>
  <c r="Q19" i="66"/>
  <c r="Q21" i="66" s="1"/>
  <c r="Q23" i="66" s="1"/>
  <c r="Q26" i="66" s="1"/>
  <c r="Q28" i="66" s="1"/>
  <c r="Q30" i="66" s="1"/>
  <c r="Q19" i="69"/>
  <c r="Q21" i="69" s="1"/>
  <c r="Q23" i="69" s="1"/>
  <c r="Q26" i="69" s="1"/>
  <c r="Q28" i="69" s="1"/>
  <c r="Q30" i="69" s="1"/>
  <c r="Q19" i="76"/>
  <c r="Q21" i="76" s="1"/>
  <c r="Q23" i="76" s="1"/>
  <c r="Q26" i="76" s="1"/>
  <c r="Q28" i="76" s="1"/>
  <c r="Q30" i="76" s="1"/>
  <c r="Q19" i="100"/>
  <c r="Q21" i="100" s="1"/>
  <c r="Q23" i="100" s="1"/>
  <c r="Q26" i="100" s="1"/>
  <c r="Q28" i="100" s="1"/>
  <c r="Q30" i="100" s="1"/>
  <c r="Q19" i="79"/>
  <c r="Q21" i="79" s="1"/>
  <c r="Q23" i="79" s="1"/>
  <c r="Q26" i="79" s="1"/>
  <c r="Q28" i="79" s="1"/>
  <c r="Q30" i="79" s="1"/>
  <c r="Q15" i="74"/>
  <c r="Q17" i="74" s="1"/>
  <c r="Q19" i="74" s="1"/>
  <c r="Q22" i="74" s="1"/>
  <c r="Q24" i="74" s="1"/>
  <c r="Q26" i="74" s="1"/>
  <c r="C41" i="114"/>
  <c r="N71" i="29"/>
  <c r="P39" i="116"/>
  <c r="P35" i="115"/>
  <c r="P39" i="114"/>
  <c r="P35" i="113"/>
  <c r="P35" i="111"/>
  <c r="Q19" i="88"/>
  <c r="Q22" i="88" s="1"/>
  <c r="Q24" i="88" s="1"/>
  <c r="Q26" i="88" s="1"/>
  <c r="Q28" i="88" s="1"/>
  <c r="Q29" i="88" s="1"/>
  <c r="Q31" i="88" s="1"/>
  <c r="P19" i="53"/>
  <c r="P21" i="53" s="1"/>
  <c r="P23" i="53" s="1"/>
  <c r="P26" i="53" s="1"/>
  <c r="P28" i="53" s="1"/>
  <c r="P30" i="53" s="1"/>
  <c r="P23" i="84"/>
  <c r="P26" i="84" s="1"/>
  <c r="P28" i="84" s="1"/>
  <c r="P30" i="84" s="1"/>
  <c r="P32" i="84" s="1"/>
  <c r="P35" i="84" s="1"/>
  <c r="P36" i="84" s="1"/>
  <c r="P9" i="88"/>
  <c r="P15" i="88" s="1"/>
  <c r="Q19" i="87"/>
  <c r="Q21" i="87" s="1"/>
  <c r="Q23" i="87" s="1"/>
  <c r="Q26" i="87" s="1"/>
  <c r="Q28" i="87" s="1"/>
  <c r="Q30" i="87" s="1"/>
  <c r="Q19" i="49"/>
  <c r="Q21" i="49" s="1"/>
  <c r="Q23" i="49" s="1"/>
  <c r="Q26" i="49" s="1"/>
  <c r="Q28" i="49" s="1"/>
  <c r="Q30" i="49" s="1"/>
  <c r="Q19" i="50"/>
  <c r="Q21" i="50" s="1"/>
  <c r="Q23" i="50" s="1"/>
  <c r="Q26" i="50" s="1"/>
  <c r="Q28" i="50" s="1"/>
  <c r="Q30" i="50" s="1"/>
  <c r="Q19" i="51"/>
  <c r="Q21" i="51" s="1"/>
  <c r="Q23" i="51" s="1"/>
  <c r="Q26" i="51" s="1"/>
  <c r="Q28" i="51" s="1"/>
  <c r="Q30" i="51" s="1"/>
  <c r="Q19" i="52"/>
  <c r="Q21" i="52" s="1"/>
  <c r="Q23" i="52" s="1"/>
  <c r="Q26" i="52" s="1"/>
  <c r="Q28" i="52" s="1"/>
  <c r="Q30" i="52" s="1"/>
  <c r="Q19" i="53"/>
  <c r="Q21" i="53" s="1"/>
  <c r="Q23" i="53" s="1"/>
  <c r="Q26" i="53" s="1"/>
  <c r="Q28" i="53" s="1"/>
  <c r="Q30" i="53" s="1"/>
  <c r="P19" i="70"/>
  <c r="P21" i="70" s="1"/>
  <c r="P23" i="70" s="1"/>
  <c r="P26" i="70" s="1"/>
  <c r="P28" i="70" s="1"/>
  <c r="P30" i="70" s="1"/>
  <c r="P13" i="58"/>
  <c r="P19" i="57"/>
  <c r="P21" i="57" s="1"/>
  <c r="P23" i="57" s="1"/>
  <c r="P26" i="57" s="1"/>
  <c r="P28" i="57" s="1"/>
  <c r="P30" i="57" s="1"/>
  <c r="Q19" i="73"/>
  <c r="Q21" i="73" s="1"/>
  <c r="Q23" i="73" s="1"/>
  <c r="Q26" i="73" s="1"/>
  <c r="Q28" i="73" s="1"/>
  <c r="Q30" i="73" s="1"/>
  <c r="P13" i="73"/>
  <c r="P19" i="73" s="1"/>
  <c r="P21" i="73" s="1"/>
  <c r="P23" i="73" s="1"/>
  <c r="P26" i="73" s="1"/>
  <c r="P28" i="73" s="1"/>
  <c r="P30" i="73" s="1"/>
  <c r="Q15" i="82"/>
  <c r="Q17" i="82" s="1"/>
  <c r="Q19" i="82" s="1"/>
  <c r="Q22" i="82" s="1"/>
  <c r="Q24" i="82" s="1"/>
  <c r="Q26" i="82" s="1"/>
  <c r="P19" i="96"/>
  <c r="P21" i="96" s="1"/>
  <c r="P23" i="96" s="1"/>
  <c r="P26" i="96" s="1"/>
  <c r="P28" i="96" s="1"/>
  <c r="P30" i="96" s="1"/>
  <c r="Q19" i="90"/>
  <c r="Q21" i="90" s="1"/>
  <c r="Q23" i="90" s="1"/>
  <c r="Q26" i="90" s="1"/>
  <c r="Q28" i="90" s="1"/>
  <c r="Q30" i="90" s="1"/>
  <c r="Q15" i="92"/>
  <c r="Q17" i="92" s="1"/>
  <c r="Q19" i="92" s="1"/>
  <c r="Q22" i="92" s="1"/>
  <c r="Q24" i="92" s="1"/>
  <c r="Q26" i="92" s="1"/>
  <c r="P19" i="95"/>
  <c r="P21" i="95" s="1"/>
  <c r="P23" i="95" s="1"/>
  <c r="P26" i="95" s="1"/>
  <c r="P28" i="95" s="1"/>
  <c r="P30" i="95" s="1"/>
  <c r="Q19" i="63"/>
  <c r="Q21" i="63" s="1"/>
  <c r="Q23" i="63" s="1"/>
  <c r="Q26" i="63" s="1"/>
  <c r="Q28" i="63" s="1"/>
  <c r="Q30" i="63" s="1"/>
  <c r="P19" i="65"/>
  <c r="P21" i="65" s="1"/>
  <c r="P23" i="65" s="1"/>
  <c r="P26" i="65" s="1"/>
  <c r="P28" i="65" s="1"/>
  <c r="P30" i="65" s="1"/>
  <c r="Q19" i="72"/>
  <c r="Q21" i="72" s="1"/>
  <c r="Q23" i="72" s="1"/>
  <c r="Q26" i="72" s="1"/>
  <c r="Q28" i="72" s="1"/>
  <c r="Q30" i="72" s="1"/>
  <c r="Q19" i="83"/>
  <c r="Q21" i="83" s="1"/>
  <c r="Q23" i="83" s="1"/>
  <c r="Q26" i="83" s="1"/>
  <c r="Q28" i="83" s="1"/>
  <c r="Q30" i="83" s="1"/>
  <c r="Q15" i="101"/>
  <c r="Q17" i="101" s="1"/>
  <c r="Q19" i="101" s="1"/>
  <c r="Q22" i="101" s="1"/>
  <c r="Q24" i="101" s="1"/>
  <c r="Q26" i="101" s="1"/>
  <c r="Q15" i="94"/>
  <c r="Q17" i="94" s="1"/>
  <c r="Q19" i="94" s="1"/>
  <c r="Q22" i="94" s="1"/>
  <c r="Q24" i="94" s="1"/>
  <c r="Q26" i="94" s="1"/>
  <c r="Q19" i="102"/>
  <c r="Q21" i="102" s="1"/>
  <c r="Q23" i="102" s="1"/>
  <c r="Q26" i="102" s="1"/>
  <c r="Q28" i="102" s="1"/>
  <c r="Q30" i="102" s="1"/>
  <c r="Q15" i="104"/>
  <c r="Q17" i="104" s="1"/>
  <c r="Q19" i="104" s="1"/>
  <c r="Q22" i="104" s="1"/>
  <c r="Q24" i="104" s="1"/>
  <c r="Q26" i="104" s="1"/>
  <c r="Q19" i="106"/>
  <c r="Q21" i="106" s="1"/>
  <c r="Q23" i="106" s="1"/>
  <c r="Q26" i="106" s="1"/>
  <c r="Q28" i="106" s="1"/>
  <c r="Q30" i="106" s="1"/>
  <c r="Q15" i="109"/>
  <c r="Q17" i="109" s="1"/>
  <c r="Q19" i="109" s="1"/>
  <c r="Q22" i="109" s="1"/>
  <c r="Q24" i="109" s="1"/>
  <c r="Q26" i="109" s="1"/>
  <c r="Q19" i="55"/>
  <c r="Q21" i="55" s="1"/>
  <c r="Q23" i="55" s="1"/>
  <c r="Q26" i="55" s="1"/>
  <c r="Q28" i="55" s="1"/>
  <c r="Q30" i="55" s="1"/>
  <c r="Q19" i="95"/>
  <c r="Q21" i="95" s="1"/>
  <c r="Q23" i="95" s="1"/>
  <c r="Q26" i="95" s="1"/>
  <c r="Q28" i="95" s="1"/>
  <c r="Q30" i="95" s="1"/>
  <c r="Q19" i="60"/>
  <c r="Q21" i="60" s="1"/>
  <c r="Q23" i="60" s="1"/>
  <c r="Q26" i="60" s="1"/>
  <c r="Q28" i="60" s="1"/>
  <c r="Q30" i="60" s="1"/>
  <c r="Q19" i="65"/>
  <c r="Q21" i="65" s="1"/>
  <c r="Q23" i="65" s="1"/>
  <c r="Q26" i="65" s="1"/>
  <c r="Q28" i="65" s="1"/>
  <c r="Q30" i="65" s="1"/>
  <c r="Q19" i="67"/>
  <c r="Q21" i="67" s="1"/>
  <c r="Q23" i="67" s="1"/>
  <c r="Q26" i="67" s="1"/>
  <c r="Q28" i="67" s="1"/>
  <c r="Q30" i="67" s="1"/>
  <c r="Q19" i="68"/>
  <c r="Q21" i="68" s="1"/>
  <c r="Q23" i="68" s="1"/>
  <c r="Q26" i="68" s="1"/>
  <c r="Q28" i="68" s="1"/>
  <c r="Q30" i="68" s="1"/>
  <c r="Q15" i="75"/>
  <c r="Q17" i="75" s="1"/>
  <c r="Q19" i="75" s="1"/>
  <c r="Q22" i="75" s="1"/>
  <c r="Q24" i="75" s="1"/>
  <c r="Q26" i="75" s="1"/>
  <c r="Q15" i="77"/>
  <c r="Q17" i="77" s="1"/>
  <c r="Q19" i="77" s="1"/>
  <c r="Q22" i="77" s="1"/>
  <c r="Q24" i="77" s="1"/>
  <c r="Q26" i="77" s="1"/>
  <c r="Q15" i="78"/>
  <c r="Q17" i="78" s="1"/>
  <c r="Q19" i="78" s="1"/>
  <c r="Q22" i="78" s="1"/>
  <c r="Q24" i="78" s="1"/>
  <c r="Q26" i="78" s="1"/>
  <c r="Q15" i="80"/>
  <c r="Q17" i="80" s="1"/>
  <c r="Q19" i="80" s="1"/>
  <c r="Q22" i="80" s="1"/>
  <c r="Q24" i="80" s="1"/>
  <c r="Q26" i="80" s="1"/>
  <c r="Q15" i="91"/>
  <c r="Q17" i="91" s="1"/>
  <c r="Q19" i="91" s="1"/>
  <c r="Q22" i="91" s="1"/>
  <c r="Q24" i="91" s="1"/>
  <c r="Q26" i="91" s="1"/>
  <c r="Q19" i="57"/>
  <c r="Q21" i="57" s="1"/>
  <c r="Q23" i="57" s="1"/>
  <c r="Q26" i="57" s="1"/>
  <c r="Q28" i="57" s="1"/>
  <c r="Q30" i="57" s="1"/>
  <c r="Q19" i="62"/>
  <c r="Q21" i="62" s="1"/>
  <c r="Q23" i="62" s="1"/>
  <c r="Q26" i="62" s="1"/>
  <c r="Q28" i="62" s="1"/>
  <c r="Q30" i="62" s="1"/>
  <c r="Q19" i="64"/>
  <c r="Q21" i="64" s="1"/>
  <c r="Q23" i="64" s="1"/>
  <c r="Q26" i="64" s="1"/>
  <c r="Q28" i="64" s="1"/>
  <c r="Q30" i="64" s="1"/>
  <c r="Q19" i="70"/>
  <c r="Q21" i="70" s="1"/>
  <c r="Q23" i="70" s="1"/>
  <c r="Q26" i="70" s="1"/>
  <c r="Q28" i="70" s="1"/>
  <c r="Q30" i="70" s="1"/>
  <c r="Q19" i="71"/>
  <c r="Q21" i="71" s="1"/>
  <c r="Q23" i="71" s="1"/>
  <c r="Q26" i="71" s="1"/>
  <c r="Q28" i="71" s="1"/>
  <c r="Q30" i="71" s="1"/>
  <c r="Q19" i="96"/>
  <c r="Q21" i="96" s="1"/>
  <c r="Q23" i="96" s="1"/>
  <c r="Q26" i="96" s="1"/>
  <c r="Q28" i="96" s="1"/>
  <c r="Q30" i="96" s="1"/>
  <c r="Q19" i="81"/>
  <c r="Q21" i="81" s="1"/>
  <c r="Q23" i="81" s="1"/>
  <c r="Q26" i="81" s="1"/>
  <c r="Q28" i="81" s="1"/>
  <c r="Q30" i="81" s="1"/>
  <c r="Q19" i="97"/>
  <c r="Q21" i="97" s="1"/>
  <c r="Q23" i="97" s="1"/>
  <c r="Q26" i="97" s="1"/>
  <c r="Q28" i="97" s="1"/>
  <c r="Q30" i="97" s="1"/>
  <c r="Q19" i="89"/>
  <c r="Q21" i="89" s="1"/>
  <c r="Q23" i="89" s="1"/>
  <c r="Q26" i="89" s="1"/>
  <c r="Q28" i="89" s="1"/>
  <c r="Q30" i="89" s="1"/>
  <c r="Q19" i="98"/>
  <c r="Q21" i="98" s="1"/>
  <c r="Q23" i="98" s="1"/>
  <c r="Q26" i="98" s="1"/>
  <c r="Q28" i="98" s="1"/>
  <c r="Q30" i="98" s="1"/>
  <c r="Q19" i="103"/>
  <c r="Q21" i="103" s="1"/>
  <c r="Q23" i="103" s="1"/>
  <c r="Q26" i="103" s="1"/>
  <c r="Q28" i="103" s="1"/>
  <c r="Q30" i="103" s="1"/>
  <c r="Q19" i="105"/>
  <c r="Q21" i="105" s="1"/>
  <c r="Q23" i="105" s="1"/>
  <c r="Q26" i="105" s="1"/>
  <c r="Q28" i="105" s="1"/>
  <c r="Q30" i="105" s="1"/>
  <c r="Q15" i="108"/>
  <c r="Q17" i="108" s="1"/>
  <c r="Q19" i="108" s="1"/>
  <c r="Q22" i="108" s="1"/>
  <c r="Q24" i="108" s="1"/>
  <c r="Q26" i="108" s="1"/>
  <c r="P9" i="109"/>
  <c r="P15" i="109" s="1"/>
  <c r="P17" i="109" s="1"/>
  <c r="P9" i="108"/>
  <c r="P15" i="108" s="1"/>
  <c r="P17" i="108" s="1"/>
  <c r="P13" i="106"/>
  <c r="P19" i="106" s="1"/>
  <c r="P21" i="106" s="1"/>
  <c r="P13" i="105"/>
  <c r="P19" i="105" s="1"/>
  <c r="P21" i="105" s="1"/>
  <c r="P9" i="104"/>
  <c r="P15" i="104" s="1"/>
  <c r="P17" i="104" s="1"/>
  <c r="P13" i="103"/>
  <c r="P19" i="103" s="1"/>
  <c r="P21" i="103" s="1"/>
  <c r="P13" i="102"/>
  <c r="P19" i="102" s="1"/>
  <c r="P21" i="102" s="1"/>
  <c r="P13" i="98"/>
  <c r="P19" i="98" s="1"/>
  <c r="P21" i="98" s="1"/>
  <c r="P9" i="94"/>
  <c r="P15" i="94" s="1"/>
  <c r="P17" i="94" s="1"/>
  <c r="P15" i="93"/>
  <c r="P17" i="93" s="1"/>
  <c r="Q15" i="93"/>
  <c r="Q17" i="93" s="1"/>
  <c r="P9" i="92"/>
  <c r="P15" i="92" s="1"/>
  <c r="P17" i="92" s="1"/>
  <c r="P9" i="91"/>
  <c r="P15" i="91" s="1"/>
  <c r="P17" i="91" s="1"/>
  <c r="P13" i="90"/>
  <c r="P19" i="90" s="1"/>
  <c r="P21" i="90" s="1"/>
  <c r="P13" i="89"/>
  <c r="P19" i="89" s="1"/>
  <c r="P21" i="89" s="1"/>
  <c r="P9" i="101"/>
  <c r="P15" i="101" s="1"/>
  <c r="P17" i="101" s="1"/>
  <c r="P13" i="97"/>
  <c r="P19" i="97" s="1"/>
  <c r="P21" i="97" s="1"/>
  <c r="P19" i="83"/>
  <c r="P21" i="83" s="1"/>
  <c r="P23" i="83" s="1"/>
  <c r="P26" i="83" s="1"/>
  <c r="P28" i="83" s="1"/>
  <c r="P30" i="83" s="1"/>
  <c r="P13" i="81"/>
  <c r="P19" i="81" s="1"/>
  <c r="P21" i="81" s="1"/>
  <c r="P9" i="82"/>
  <c r="P15" i="82" s="1"/>
  <c r="P17" i="82" s="1"/>
  <c r="P9" i="80"/>
  <c r="P15" i="80" s="1"/>
  <c r="P17" i="80" s="1"/>
  <c r="P13" i="79"/>
  <c r="P19" i="79" s="1"/>
  <c r="P21" i="79" s="1"/>
  <c r="P9" i="78"/>
  <c r="P15" i="78" s="1"/>
  <c r="P17" i="78" s="1"/>
  <c r="P13" i="100"/>
  <c r="P19" i="100" s="1"/>
  <c r="P21" i="100" s="1"/>
  <c r="P9" i="77"/>
  <c r="P15" i="77" s="1"/>
  <c r="P17" i="77" s="1"/>
  <c r="P13" i="76"/>
  <c r="P19" i="76" s="1"/>
  <c r="P21" i="76" s="1"/>
  <c r="P9" i="75"/>
  <c r="P15" i="75" s="1"/>
  <c r="P17" i="75" s="1"/>
  <c r="P9" i="74"/>
  <c r="P15" i="74" s="1"/>
  <c r="P17" i="74" s="1"/>
  <c r="P13" i="72"/>
  <c r="P19" i="72" s="1"/>
  <c r="P21" i="72" s="1"/>
  <c r="P13" i="71"/>
  <c r="P19" i="71" s="1"/>
  <c r="P21" i="71" s="1"/>
  <c r="P13" i="69"/>
  <c r="P19" i="69" s="1"/>
  <c r="P21" i="69" s="1"/>
  <c r="P13" i="68"/>
  <c r="P19" i="68" s="1"/>
  <c r="P21" i="68" s="1"/>
  <c r="P13" i="66"/>
  <c r="P19" i="66" s="1"/>
  <c r="P21" i="66" s="1"/>
  <c r="P13" i="67"/>
  <c r="P19" i="67" s="1"/>
  <c r="P21" i="67" s="1"/>
  <c r="P13" i="64"/>
  <c r="P19" i="64" s="1"/>
  <c r="P21" i="64" s="1"/>
  <c r="P13" i="63"/>
  <c r="P19" i="63" s="1"/>
  <c r="P21" i="63" s="1"/>
  <c r="P13" i="62"/>
  <c r="P19" i="62" s="1"/>
  <c r="P21" i="62" s="1"/>
  <c r="P19" i="61"/>
  <c r="P21" i="61" s="1"/>
  <c r="Q19" i="61"/>
  <c r="Q21" i="61" s="1"/>
  <c r="P13" i="60"/>
  <c r="P19" i="60" s="1"/>
  <c r="P21" i="60" s="1"/>
  <c r="P9" i="59"/>
  <c r="P13" i="56"/>
  <c r="P13" i="55"/>
  <c r="P19" i="55" s="1"/>
  <c r="P21" i="55" s="1"/>
  <c r="P13" i="52"/>
  <c r="P19" i="52" s="1"/>
  <c r="P21" i="52" s="1"/>
  <c r="P13" i="51"/>
  <c r="P19" i="51" s="1"/>
  <c r="P21" i="51" s="1"/>
  <c r="P13" i="50"/>
  <c r="P19" i="50" s="1"/>
  <c r="P21" i="50" s="1"/>
  <c r="P13" i="49"/>
  <c r="P19" i="49" s="1"/>
  <c r="P21" i="49" s="1"/>
  <c r="P13" i="48"/>
  <c r="P19" i="48" s="1"/>
  <c r="P21" i="48" s="1"/>
  <c r="P13" i="47"/>
  <c r="P19" i="87"/>
  <c r="P21" i="87" s="1"/>
  <c r="P41" i="85"/>
  <c r="P23" i="85"/>
  <c r="P26" i="85" s="1"/>
  <c r="P28" i="85" s="1"/>
  <c r="P30" i="85" s="1"/>
  <c r="Q19" i="85"/>
  <c r="Q21" i="85" s="1"/>
  <c r="U28" i="29"/>
  <c r="U43" i="29"/>
  <c r="U7" i="29"/>
  <c r="P39" i="117" l="1"/>
  <c r="Q41" i="117"/>
  <c r="R9" i="29"/>
  <c r="G32" i="111"/>
  <c r="X41" i="29" s="1"/>
  <c r="X71" i="29"/>
  <c r="U108" i="29"/>
  <c r="C41" i="116"/>
  <c r="E37" i="115"/>
  <c r="E37" i="111"/>
  <c r="D41" i="117"/>
  <c r="C37" i="118"/>
  <c r="P9" i="29"/>
  <c r="D32" i="118"/>
  <c r="E32" i="118" s="1"/>
  <c r="F32" i="118" s="1"/>
  <c r="G32" i="118" s="1"/>
  <c r="F32" i="113"/>
  <c r="G32" i="113" s="1"/>
  <c r="X67" i="29" s="1"/>
  <c r="Q32" i="88"/>
  <c r="Q36" i="84"/>
  <c r="F32" i="115"/>
  <c r="G32" i="115" s="1"/>
  <c r="X72" i="29" s="1"/>
  <c r="D41" i="114"/>
  <c r="P71" i="29"/>
  <c r="D37" i="113"/>
  <c r="P67" i="29"/>
  <c r="R71" i="29"/>
  <c r="R67" i="29"/>
  <c r="P19" i="109"/>
  <c r="P22" i="109" s="1"/>
  <c r="P24" i="109" s="1"/>
  <c r="P26" i="109" s="1"/>
  <c r="P19" i="108"/>
  <c r="P22" i="108" s="1"/>
  <c r="P24" i="108" s="1"/>
  <c r="P26" i="108" s="1"/>
  <c r="P23" i="106"/>
  <c r="P26" i="106" s="1"/>
  <c r="P28" i="106" s="1"/>
  <c r="P30" i="106" s="1"/>
  <c r="P23" i="105"/>
  <c r="P26" i="105" s="1"/>
  <c r="P28" i="105" s="1"/>
  <c r="P30" i="105" s="1"/>
  <c r="P19" i="104"/>
  <c r="P22" i="104" s="1"/>
  <c r="P24" i="104" s="1"/>
  <c r="P26" i="104" s="1"/>
  <c r="P23" i="103"/>
  <c r="P26" i="103" s="1"/>
  <c r="P28" i="103" s="1"/>
  <c r="P30" i="103" s="1"/>
  <c r="P23" i="102"/>
  <c r="P26" i="102" s="1"/>
  <c r="P28" i="102" s="1"/>
  <c r="P30" i="102" s="1"/>
  <c r="P23" i="98"/>
  <c r="P26" i="98" s="1"/>
  <c r="P28" i="98" s="1"/>
  <c r="P30" i="98" s="1"/>
  <c r="P19" i="94"/>
  <c r="P22" i="94" s="1"/>
  <c r="P24" i="94" s="1"/>
  <c r="P26" i="94" s="1"/>
  <c r="Q19" i="93"/>
  <c r="Q22" i="93" s="1"/>
  <c r="Q24" i="93" s="1"/>
  <c r="Q26" i="93" s="1"/>
  <c r="P19" i="93"/>
  <c r="P22" i="93" s="1"/>
  <c r="P24" i="93" s="1"/>
  <c r="P26" i="93" s="1"/>
  <c r="P19" i="92"/>
  <c r="P22" i="92" s="1"/>
  <c r="P24" i="92" s="1"/>
  <c r="P26" i="92" s="1"/>
  <c r="P19" i="91"/>
  <c r="P22" i="91" s="1"/>
  <c r="P24" i="91" s="1"/>
  <c r="P26" i="91" s="1"/>
  <c r="P23" i="90"/>
  <c r="P26" i="90" s="1"/>
  <c r="P28" i="90" s="1"/>
  <c r="P30" i="90" s="1"/>
  <c r="P23" i="89"/>
  <c r="P26" i="89" s="1"/>
  <c r="P28" i="89" s="1"/>
  <c r="P30" i="89" s="1"/>
  <c r="P19" i="101"/>
  <c r="P22" i="101" s="1"/>
  <c r="P24" i="101" s="1"/>
  <c r="P26" i="101" s="1"/>
  <c r="P23" i="97"/>
  <c r="P26" i="97" s="1"/>
  <c r="P28" i="97" s="1"/>
  <c r="P30" i="97" s="1"/>
  <c r="P23" i="81"/>
  <c r="P26" i="81" s="1"/>
  <c r="P28" i="81" s="1"/>
  <c r="P30" i="81" s="1"/>
  <c r="P19" i="82"/>
  <c r="P22" i="82" s="1"/>
  <c r="P24" i="82" s="1"/>
  <c r="P26" i="82" s="1"/>
  <c r="P19" i="80"/>
  <c r="P22" i="80" s="1"/>
  <c r="P24" i="80" s="1"/>
  <c r="P26" i="80" s="1"/>
  <c r="P23" i="79"/>
  <c r="P26" i="79" s="1"/>
  <c r="P28" i="79" s="1"/>
  <c r="P30" i="79" s="1"/>
  <c r="P19" i="78"/>
  <c r="P22" i="78" s="1"/>
  <c r="P24" i="78" s="1"/>
  <c r="P26" i="78" s="1"/>
  <c r="P23" i="100"/>
  <c r="P26" i="100" s="1"/>
  <c r="P28" i="100" s="1"/>
  <c r="P30" i="100" s="1"/>
  <c r="P19" i="77"/>
  <c r="P22" i="77" s="1"/>
  <c r="P24" i="77" s="1"/>
  <c r="P26" i="77" s="1"/>
  <c r="P23" i="76"/>
  <c r="P26" i="76" s="1"/>
  <c r="P28" i="76" s="1"/>
  <c r="P30" i="76" s="1"/>
  <c r="P19" i="75"/>
  <c r="P22" i="75" s="1"/>
  <c r="P24" i="75" s="1"/>
  <c r="P26" i="75" s="1"/>
  <c r="P19" i="74"/>
  <c r="P22" i="74" s="1"/>
  <c r="P24" i="74" s="1"/>
  <c r="P26" i="74" s="1"/>
  <c r="P23" i="72"/>
  <c r="P26" i="72" s="1"/>
  <c r="P28" i="72" s="1"/>
  <c r="P30" i="72" s="1"/>
  <c r="P23" i="71"/>
  <c r="P26" i="71" s="1"/>
  <c r="P28" i="71" s="1"/>
  <c r="P30" i="71" s="1"/>
  <c r="P23" i="69"/>
  <c r="P26" i="69" s="1"/>
  <c r="P28" i="69" s="1"/>
  <c r="P30" i="69" s="1"/>
  <c r="P23" i="68"/>
  <c r="P26" i="68" s="1"/>
  <c r="P28" i="68" s="1"/>
  <c r="P30" i="68" s="1"/>
  <c r="P23" i="66"/>
  <c r="P26" i="66" s="1"/>
  <c r="P28" i="66" s="1"/>
  <c r="P30" i="66" s="1"/>
  <c r="P23" i="67"/>
  <c r="P26" i="67" s="1"/>
  <c r="P28" i="67" s="1"/>
  <c r="P30" i="67" s="1"/>
  <c r="P23" i="64"/>
  <c r="P26" i="64" s="1"/>
  <c r="P28" i="64" s="1"/>
  <c r="P30" i="64" s="1"/>
  <c r="P23" i="63"/>
  <c r="P26" i="63" s="1"/>
  <c r="P28" i="63" s="1"/>
  <c r="P30" i="63" s="1"/>
  <c r="P23" i="62"/>
  <c r="P26" i="62" s="1"/>
  <c r="P28" i="62" s="1"/>
  <c r="P30" i="62" s="1"/>
  <c r="P23" i="61"/>
  <c r="P26" i="61" s="1"/>
  <c r="P28" i="61" s="1"/>
  <c r="P30" i="61" s="1"/>
  <c r="Q23" i="61"/>
  <c r="Q26" i="61" s="1"/>
  <c r="Q28" i="61" s="1"/>
  <c r="Q30" i="61" s="1"/>
  <c r="P23" i="60"/>
  <c r="P26" i="60" s="1"/>
  <c r="P28" i="60" s="1"/>
  <c r="P30" i="60" s="1"/>
  <c r="P23" i="55"/>
  <c r="P26" i="55" s="1"/>
  <c r="P28" i="55" s="1"/>
  <c r="P30" i="55" s="1"/>
  <c r="P23" i="52"/>
  <c r="P26" i="52" s="1"/>
  <c r="P28" i="52" s="1"/>
  <c r="P30" i="52" s="1"/>
  <c r="P23" i="51"/>
  <c r="P26" i="51" s="1"/>
  <c r="P28" i="51" s="1"/>
  <c r="P30" i="51" s="1"/>
  <c r="P23" i="50"/>
  <c r="P26" i="50" s="1"/>
  <c r="P28" i="50" s="1"/>
  <c r="P30" i="50" s="1"/>
  <c r="P23" i="49"/>
  <c r="P26" i="49" s="1"/>
  <c r="P28" i="49" s="1"/>
  <c r="P30" i="49" s="1"/>
  <c r="P23" i="48"/>
  <c r="P26" i="48" s="1"/>
  <c r="P28" i="48" s="1"/>
  <c r="P30" i="48" s="1"/>
  <c r="P23" i="87"/>
  <c r="P26" i="87" s="1"/>
  <c r="P28" i="87" s="1"/>
  <c r="P30" i="87" s="1"/>
  <c r="Q23" i="85"/>
  <c r="Q26" i="85" s="1"/>
  <c r="Q28" i="85" s="1"/>
  <c r="Q30" i="85" s="1"/>
  <c r="Q32" i="85" s="1"/>
  <c r="Q35" i="85" s="1"/>
  <c r="G37" i="111" l="1"/>
  <c r="D41" i="116"/>
  <c r="E41" i="117"/>
  <c r="P73" i="29"/>
  <c r="R10" i="29"/>
  <c r="P10" i="29"/>
  <c r="D37" i="118"/>
  <c r="T72" i="29"/>
  <c r="E37" i="118"/>
  <c r="F37" i="115"/>
  <c r="H32" i="118"/>
  <c r="G37" i="115"/>
  <c r="H32" i="111"/>
  <c r="I32" i="111" s="1"/>
  <c r="J32" i="111" s="1"/>
  <c r="K32" i="111" s="1"/>
  <c r="H32" i="115"/>
  <c r="I32" i="115" s="1"/>
  <c r="J32" i="115" s="1"/>
  <c r="K32" i="115" s="1"/>
  <c r="L32" i="115" s="1"/>
  <c r="M32" i="115" s="1"/>
  <c r="N32" i="115" s="1"/>
  <c r="O32" i="115" s="1"/>
  <c r="H32" i="113"/>
  <c r="I32" i="113" s="1"/>
  <c r="T41" i="29"/>
  <c r="F37" i="111"/>
  <c r="F37" i="118"/>
  <c r="T10" i="29"/>
  <c r="E41" i="114"/>
  <c r="E37" i="113"/>
  <c r="Q36" i="85"/>
  <c r="T73" i="29" l="1"/>
  <c r="F41" i="117"/>
  <c r="T9" i="29"/>
  <c r="I32" i="118"/>
  <c r="J32" i="118" s="1"/>
  <c r="K32" i="118" s="1"/>
  <c r="L32" i="118" s="1"/>
  <c r="M32" i="118" s="1"/>
  <c r="N32" i="118" s="1"/>
  <c r="O32" i="118" s="1"/>
  <c r="J32" i="113"/>
  <c r="K32" i="113" s="1"/>
  <c r="L32" i="113" s="1"/>
  <c r="M32" i="113" s="1"/>
  <c r="N32" i="113" s="1"/>
  <c r="R73" i="29"/>
  <c r="E41" i="116"/>
  <c r="L32" i="111"/>
  <c r="M32" i="111" s="1"/>
  <c r="N32" i="111" s="1"/>
  <c r="O32" i="111" s="1"/>
  <c r="Z41" i="29"/>
  <c r="H37" i="111"/>
  <c r="I37" i="115"/>
  <c r="AB72" i="29"/>
  <c r="Q41" i="85"/>
  <c r="F37" i="113"/>
  <c r="T67" i="29"/>
  <c r="G37" i="118"/>
  <c r="X10" i="29"/>
  <c r="G41" i="114"/>
  <c r="T71" i="29"/>
  <c r="Z72" i="29"/>
  <c r="AD72" i="29"/>
  <c r="H37" i="115"/>
  <c r="F41" i="114"/>
  <c r="F41" i="116" l="1"/>
  <c r="X9" i="29"/>
  <c r="G41" i="117"/>
  <c r="X73" i="29"/>
  <c r="O32" i="113"/>
  <c r="AB41" i="29"/>
  <c r="I37" i="111"/>
  <c r="J37" i="115"/>
  <c r="H37" i="113"/>
  <c r="Z67" i="29"/>
  <c r="H37" i="118"/>
  <c r="Z10" i="29"/>
  <c r="I37" i="118"/>
  <c r="AB10" i="29"/>
  <c r="G37" i="113"/>
  <c r="AB67" i="29"/>
  <c r="Q12" i="59"/>
  <c r="Q16" i="54"/>
  <c r="H41" i="116" l="1"/>
  <c r="G41" i="116"/>
  <c r="AB9" i="29"/>
  <c r="I41" i="117"/>
  <c r="H41" i="117"/>
  <c r="Z9" i="29"/>
  <c r="AD41" i="29"/>
  <c r="J37" i="111"/>
  <c r="AF10" i="29"/>
  <c r="AD10" i="29"/>
  <c r="K37" i="115"/>
  <c r="AF72" i="29"/>
  <c r="J37" i="118"/>
  <c r="Q19" i="47"/>
  <c r="Q21" i="47" s="1"/>
  <c r="Q23" i="47" s="1"/>
  <c r="Q26" i="47" s="1"/>
  <c r="Q28" i="47" s="1"/>
  <c r="Q30" i="47" s="1"/>
  <c r="O16" i="47"/>
  <c r="H41" i="114"/>
  <c r="Z71" i="29"/>
  <c r="AH72" i="29"/>
  <c r="J41" i="117"/>
  <c r="K37" i="118"/>
  <c r="I37" i="113"/>
  <c r="AD67" i="29"/>
  <c r="P16" i="56"/>
  <c r="P19" i="56" s="1"/>
  <c r="P21" i="56" s="1"/>
  <c r="P23" i="56" s="1"/>
  <c r="P26" i="56" s="1"/>
  <c r="P28" i="56" s="1"/>
  <c r="P30" i="56" s="1"/>
  <c r="Q19" i="56"/>
  <c r="Q21" i="56" s="1"/>
  <c r="Q23" i="56" s="1"/>
  <c r="Q26" i="56" s="1"/>
  <c r="Q28" i="56" s="1"/>
  <c r="Q30" i="56" s="1"/>
  <c r="P12" i="59"/>
  <c r="P15" i="59" s="1"/>
  <c r="P17" i="59" s="1"/>
  <c r="P19" i="59" s="1"/>
  <c r="P22" i="59" s="1"/>
  <c r="P24" i="59" s="1"/>
  <c r="P26" i="59" s="1"/>
  <c r="Q15" i="59"/>
  <c r="Q17" i="59" s="1"/>
  <c r="P16" i="58"/>
  <c r="P19" i="58" s="1"/>
  <c r="P21" i="58" s="1"/>
  <c r="P23" i="58" s="1"/>
  <c r="P26" i="58" s="1"/>
  <c r="P28" i="58" s="1"/>
  <c r="P30" i="58" s="1"/>
  <c r="Q19" i="58"/>
  <c r="Q21" i="58" s="1"/>
  <c r="Q23" i="58" s="1"/>
  <c r="Q26" i="58" s="1"/>
  <c r="Q28" i="58" s="1"/>
  <c r="Q30" i="58" s="1"/>
  <c r="P19" i="3"/>
  <c r="P21" i="3" s="1"/>
  <c r="Q19" i="3"/>
  <c r="Q21" i="3" s="1"/>
  <c r="P16" i="54"/>
  <c r="P19" i="54" s="1"/>
  <c r="P21" i="54" s="1"/>
  <c r="P23" i="54" s="1"/>
  <c r="P26" i="54" s="1"/>
  <c r="P28" i="54" s="1"/>
  <c r="P30" i="54" s="1"/>
  <c r="Q19" i="54"/>
  <c r="Q21" i="54" s="1"/>
  <c r="AB73" i="29" l="1"/>
  <c r="Z73" i="29"/>
  <c r="AF9" i="29"/>
  <c r="AD9" i="29"/>
  <c r="P16" i="47"/>
  <c r="P19" i="47" s="1"/>
  <c r="P21" i="47" s="1"/>
  <c r="P23" i="47" s="1"/>
  <c r="P26" i="47" s="1"/>
  <c r="P28" i="47" s="1"/>
  <c r="P30" i="47" s="1"/>
  <c r="I41" i="116"/>
  <c r="AF41" i="29"/>
  <c r="K37" i="111"/>
  <c r="AH10" i="29"/>
  <c r="J41" i="114"/>
  <c r="AD71" i="29"/>
  <c r="L37" i="115"/>
  <c r="I41" i="114"/>
  <c r="AB71" i="29"/>
  <c r="L37" i="118"/>
  <c r="J37" i="113"/>
  <c r="AF67" i="29"/>
  <c r="Q23" i="3"/>
  <c r="Q26" i="3" s="1"/>
  <c r="Q28" i="3" s="1"/>
  <c r="Q30" i="3" s="1"/>
  <c r="Q23" i="54"/>
  <c r="Q26" i="54" s="1"/>
  <c r="Q28" i="54" s="1"/>
  <c r="Q30" i="54" s="1"/>
  <c r="Q19" i="59"/>
  <c r="Q22" i="59" s="1"/>
  <c r="Q24" i="59" s="1"/>
  <c r="Q26" i="59" s="1"/>
  <c r="P23" i="3"/>
  <c r="P26" i="3" s="1"/>
  <c r="P28" i="3" s="1"/>
  <c r="P30" i="3" s="1"/>
  <c r="D27" i="109"/>
  <c r="E27" i="109" s="1"/>
  <c r="F27" i="109" s="1"/>
  <c r="G27" i="109" s="1"/>
  <c r="H27" i="109" s="1"/>
  <c r="I27" i="109" s="1"/>
  <c r="J27" i="109" s="1"/>
  <c r="K27" i="109" s="1"/>
  <c r="L27" i="109" s="1"/>
  <c r="M27" i="109" s="1"/>
  <c r="N27" i="109" s="1"/>
  <c r="O27" i="109" s="1"/>
  <c r="P27" i="109" s="1"/>
  <c r="O21" i="109"/>
  <c r="N17" i="109"/>
  <c r="AK65" i="29" s="1"/>
  <c r="M17" i="109"/>
  <c r="AI65" i="29" s="1"/>
  <c r="L17" i="109"/>
  <c r="AG65" i="29" s="1"/>
  <c r="K17" i="109"/>
  <c r="J17" i="109"/>
  <c r="AC65" i="29" s="1"/>
  <c r="I17" i="109"/>
  <c r="AA65" i="29" s="1"/>
  <c r="H17" i="109"/>
  <c r="Y65" i="29" s="1"/>
  <c r="G17" i="109"/>
  <c r="W65" i="29" s="1"/>
  <c r="F17" i="109"/>
  <c r="S65" i="29" s="1"/>
  <c r="E17" i="109"/>
  <c r="Q65" i="29" s="1"/>
  <c r="D17" i="109"/>
  <c r="O65" i="29" s="1"/>
  <c r="C17" i="109"/>
  <c r="M65" i="29" s="1"/>
  <c r="O13" i="109"/>
  <c r="O11" i="109"/>
  <c r="O9" i="109"/>
  <c r="D27" i="108"/>
  <c r="E27" i="108" s="1"/>
  <c r="F27" i="108" s="1"/>
  <c r="G27" i="108" s="1"/>
  <c r="H27" i="108" s="1"/>
  <c r="I27" i="108" s="1"/>
  <c r="J27" i="108" s="1"/>
  <c r="K27" i="108" s="1"/>
  <c r="L27" i="108" s="1"/>
  <c r="M27" i="108" s="1"/>
  <c r="N27" i="108" s="1"/>
  <c r="O27" i="108" s="1"/>
  <c r="P27" i="108" s="1"/>
  <c r="O21" i="108"/>
  <c r="N17" i="108"/>
  <c r="M17" i="108"/>
  <c r="AI64" i="29" s="1"/>
  <c r="L17" i="108"/>
  <c r="AG64" i="29" s="1"/>
  <c r="K17" i="108"/>
  <c r="AE64" i="29" s="1"/>
  <c r="J17" i="108"/>
  <c r="I17" i="108"/>
  <c r="AA64" i="29" s="1"/>
  <c r="H17" i="108"/>
  <c r="Y64" i="29" s="1"/>
  <c r="G17" i="108"/>
  <c r="W64" i="29" s="1"/>
  <c r="F17" i="108"/>
  <c r="S64" i="29" s="1"/>
  <c r="E17" i="108"/>
  <c r="Q64" i="29" s="1"/>
  <c r="D17" i="108"/>
  <c r="O64" i="29" s="1"/>
  <c r="C17" i="108"/>
  <c r="M64" i="29" s="1"/>
  <c r="O13" i="108"/>
  <c r="O11" i="108"/>
  <c r="O9" i="108"/>
  <c r="AK66" i="29"/>
  <c r="AI66" i="29"/>
  <c r="AG66" i="29"/>
  <c r="AE66" i="29"/>
  <c r="AC66" i="29"/>
  <c r="AA66" i="29"/>
  <c r="Y66" i="29"/>
  <c r="W66" i="29"/>
  <c r="S66" i="29"/>
  <c r="Q66" i="29"/>
  <c r="O66" i="29"/>
  <c r="M66" i="29"/>
  <c r="O17" i="106"/>
  <c r="O15" i="106"/>
  <c r="O13" i="106"/>
  <c r="P31" i="105"/>
  <c r="AK68" i="29"/>
  <c r="AI68" i="29"/>
  <c r="AG68" i="29"/>
  <c r="AE68" i="29"/>
  <c r="AC68" i="29"/>
  <c r="AA68" i="29"/>
  <c r="Y68" i="29"/>
  <c r="W68" i="29"/>
  <c r="S68" i="29"/>
  <c r="Q68" i="29"/>
  <c r="O68" i="29"/>
  <c r="M68" i="29"/>
  <c r="O17" i="105"/>
  <c r="O15" i="105"/>
  <c r="O13" i="105"/>
  <c r="D27" i="104"/>
  <c r="E27" i="104" s="1"/>
  <c r="F27" i="104" s="1"/>
  <c r="G27" i="104" s="1"/>
  <c r="H27" i="104" s="1"/>
  <c r="I27" i="104" s="1"/>
  <c r="J27" i="104" s="1"/>
  <c r="K27" i="104" s="1"/>
  <c r="L27" i="104" s="1"/>
  <c r="M27" i="104" s="1"/>
  <c r="N27" i="104" s="1"/>
  <c r="O27" i="104" s="1"/>
  <c r="P27" i="104" s="1"/>
  <c r="O21" i="104"/>
  <c r="N17" i="104"/>
  <c r="M17" i="104"/>
  <c r="AI31" i="29" s="1"/>
  <c r="L17" i="104"/>
  <c r="AG31" i="29" s="1"/>
  <c r="K17" i="104"/>
  <c r="AE31" i="29" s="1"/>
  <c r="J17" i="104"/>
  <c r="I17" i="104"/>
  <c r="AA31" i="29" s="1"/>
  <c r="H17" i="104"/>
  <c r="Y31" i="29" s="1"/>
  <c r="G17" i="104"/>
  <c r="W31" i="29" s="1"/>
  <c r="F17" i="104"/>
  <c r="S31" i="29" s="1"/>
  <c r="E17" i="104"/>
  <c r="Q31" i="29" s="1"/>
  <c r="D17" i="104"/>
  <c r="O31" i="29" s="1"/>
  <c r="C17" i="104"/>
  <c r="M31" i="29" s="1"/>
  <c r="O13" i="104"/>
  <c r="O11" i="104"/>
  <c r="O9" i="104"/>
  <c r="P31" i="103"/>
  <c r="AK53" i="29"/>
  <c r="AI53" i="29"/>
  <c r="AG53" i="29"/>
  <c r="AC53" i="29"/>
  <c r="AA53" i="29"/>
  <c r="Y53" i="29"/>
  <c r="W53" i="29"/>
  <c r="Q53" i="29"/>
  <c r="O53" i="29"/>
  <c r="M53" i="29"/>
  <c r="O17" i="103"/>
  <c r="O15" i="103"/>
  <c r="O13" i="103"/>
  <c r="AK19" i="29"/>
  <c r="AI19" i="29"/>
  <c r="AG19" i="29"/>
  <c r="AE19" i="29"/>
  <c r="AC19" i="29"/>
  <c r="AA19" i="29"/>
  <c r="Y19" i="29"/>
  <c r="W19" i="29"/>
  <c r="S19" i="29"/>
  <c r="Q19" i="29"/>
  <c r="O19" i="29"/>
  <c r="M19" i="29"/>
  <c r="O17" i="102"/>
  <c r="O15" i="102"/>
  <c r="O13" i="102"/>
  <c r="D27" i="101"/>
  <c r="E27" i="101" s="1"/>
  <c r="F27" i="101" s="1"/>
  <c r="G27" i="101" s="1"/>
  <c r="H27" i="101" s="1"/>
  <c r="I27" i="101" s="1"/>
  <c r="J27" i="101" s="1"/>
  <c r="K27" i="101" s="1"/>
  <c r="L27" i="101" s="1"/>
  <c r="M27" i="101" s="1"/>
  <c r="N27" i="101" s="1"/>
  <c r="O27" i="101" s="1"/>
  <c r="P27" i="101" s="1"/>
  <c r="O21" i="101"/>
  <c r="N17" i="101"/>
  <c r="AK40" i="29" s="1"/>
  <c r="M17" i="101"/>
  <c r="AI40" i="29" s="1"/>
  <c r="L17" i="101"/>
  <c r="AG40" i="29" s="1"/>
  <c r="K17" i="101"/>
  <c r="AE40" i="29" s="1"/>
  <c r="J17" i="101"/>
  <c r="AC40" i="29" s="1"/>
  <c r="I17" i="101"/>
  <c r="AA40" i="29" s="1"/>
  <c r="H17" i="101"/>
  <c r="Y40" i="29" s="1"/>
  <c r="G17" i="101"/>
  <c r="W40" i="29" s="1"/>
  <c r="F17" i="101"/>
  <c r="S40" i="29" s="1"/>
  <c r="E17" i="101"/>
  <c r="Q40" i="29" s="1"/>
  <c r="D17" i="101"/>
  <c r="O40" i="29" s="1"/>
  <c r="C17" i="101"/>
  <c r="M40" i="29" s="1"/>
  <c r="O13" i="101"/>
  <c r="O11" i="101"/>
  <c r="O9" i="101"/>
  <c r="D31" i="100"/>
  <c r="E31" i="100" s="1"/>
  <c r="F31" i="100" s="1"/>
  <c r="G31" i="100" s="1"/>
  <c r="H31" i="100" s="1"/>
  <c r="I31" i="100" s="1"/>
  <c r="J31" i="100" s="1"/>
  <c r="K31" i="100" s="1"/>
  <c r="L31" i="100" s="1"/>
  <c r="M31" i="100" s="1"/>
  <c r="N31" i="100" s="1"/>
  <c r="O31" i="100" s="1"/>
  <c r="P31" i="100" s="1"/>
  <c r="O25" i="100"/>
  <c r="N21" i="100"/>
  <c r="AK39" i="29" s="1"/>
  <c r="M21" i="100"/>
  <c r="AI39" i="29" s="1"/>
  <c r="L21" i="100"/>
  <c r="AG39" i="29" s="1"/>
  <c r="K21" i="100"/>
  <c r="AE39" i="29" s="1"/>
  <c r="J21" i="100"/>
  <c r="AC39" i="29" s="1"/>
  <c r="I21" i="100"/>
  <c r="AA39" i="29" s="1"/>
  <c r="H21" i="100"/>
  <c r="Y39" i="29" s="1"/>
  <c r="G21" i="100"/>
  <c r="W39" i="29" s="1"/>
  <c r="F21" i="100"/>
  <c r="S39" i="29" s="1"/>
  <c r="E21" i="100"/>
  <c r="Q39" i="29" s="1"/>
  <c r="D21" i="100"/>
  <c r="O39" i="29" s="1"/>
  <c r="C21" i="100"/>
  <c r="M39" i="29" s="1"/>
  <c r="O17" i="100"/>
  <c r="O15" i="100"/>
  <c r="O13" i="100"/>
  <c r="K41" i="117" l="1"/>
  <c r="L41" i="117"/>
  <c r="AD73" i="29"/>
  <c r="J41" i="116"/>
  <c r="O15" i="109"/>
  <c r="O17" i="109" s="1"/>
  <c r="AH41" i="29"/>
  <c r="L37" i="111"/>
  <c r="AE53" i="29"/>
  <c r="J19" i="104"/>
  <c r="J22" i="104" s="1"/>
  <c r="J24" i="104" s="1"/>
  <c r="AC31" i="29"/>
  <c r="N19" i="104"/>
  <c r="N22" i="104" s="1"/>
  <c r="N24" i="104" s="1"/>
  <c r="AK31" i="29"/>
  <c r="N37" i="118"/>
  <c r="AL10" i="29"/>
  <c r="AJ72" i="29"/>
  <c r="K41" i="114"/>
  <c r="AF71" i="29"/>
  <c r="M37" i="118"/>
  <c r="AJ10" i="29"/>
  <c r="S53" i="29"/>
  <c r="J19" i="108"/>
  <c r="J22" i="108" s="1"/>
  <c r="J24" i="108" s="1"/>
  <c r="AC64" i="29"/>
  <c r="N19" i="108"/>
  <c r="N22" i="108" s="1"/>
  <c r="N24" i="108" s="1"/>
  <c r="AK64" i="29"/>
  <c r="K19" i="109"/>
  <c r="K22" i="109" s="1"/>
  <c r="K24" i="109" s="1"/>
  <c r="AE65" i="29"/>
  <c r="L41" i="114"/>
  <c r="AH71" i="29"/>
  <c r="AH9" i="29"/>
  <c r="O19" i="105"/>
  <c r="O15" i="101"/>
  <c r="O17" i="101" s="1"/>
  <c r="M37" i="115"/>
  <c r="O37" i="115"/>
  <c r="O37" i="118"/>
  <c r="K37" i="113"/>
  <c r="AH67" i="29"/>
  <c r="Q27" i="101"/>
  <c r="Q28" i="101" s="1"/>
  <c r="Q29" i="101" s="1"/>
  <c r="Q31" i="101" s="1"/>
  <c r="Q32" i="101" s="1"/>
  <c r="P28" i="101"/>
  <c r="P29" i="101" s="1"/>
  <c r="P31" i="101" s="1"/>
  <c r="P32" i="101" s="1"/>
  <c r="Q31" i="103"/>
  <c r="Q32" i="103" s="1"/>
  <c r="Q33" i="103" s="1"/>
  <c r="Q35" i="103" s="1"/>
  <c r="Q36" i="103" s="1"/>
  <c r="P32" i="103"/>
  <c r="P33" i="103" s="1"/>
  <c r="P35" i="103" s="1"/>
  <c r="P36" i="103" s="1"/>
  <c r="Q31" i="105"/>
  <c r="Q32" i="105" s="1"/>
  <c r="Q33" i="105" s="1"/>
  <c r="Q35" i="105" s="1"/>
  <c r="Q36" i="105" s="1"/>
  <c r="P32" i="105"/>
  <c r="P33" i="105" s="1"/>
  <c r="P35" i="105" s="1"/>
  <c r="P36" i="105" s="1"/>
  <c r="Q31" i="100"/>
  <c r="Q32" i="100" s="1"/>
  <c r="Q33" i="100" s="1"/>
  <c r="Q35" i="100" s="1"/>
  <c r="Q36" i="100" s="1"/>
  <c r="P32" i="100"/>
  <c r="P33" i="100" s="1"/>
  <c r="P35" i="100" s="1"/>
  <c r="P36" i="100" s="1"/>
  <c r="O19" i="102"/>
  <c r="O21" i="102" s="1"/>
  <c r="O28" i="102" s="1"/>
  <c r="O30" i="102" s="1"/>
  <c r="O31" i="102" s="1"/>
  <c r="O19" i="106"/>
  <c r="O21" i="106" s="1"/>
  <c r="O28" i="106" s="1"/>
  <c r="O30" i="106" s="1"/>
  <c r="Q27" i="109"/>
  <c r="Q28" i="109" s="1"/>
  <c r="Q29" i="109" s="1"/>
  <c r="Q31" i="109" s="1"/>
  <c r="Q32" i="109" s="1"/>
  <c r="P28" i="109"/>
  <c r="P29" i="109" s="1"/>
  <c r="P31" i="109" s="1"/>
  <c r="P32" i="109" s="1"/>
  <c r="Q27" i="104"/>
  <c r="Q28" i="104" s="1"/>
  <c r="Q29" i="104" s="1"/>
  <c r="Q31" i="104" s="1"/>
  <c r="Q32" i="104" s="1"/>
  <c r="P28" i="104"/>
  <c r="P29" i="104" s="1"/>
  <c r="P31" i="104" s="1"/>
  <c r="P32" i="104" s="1"/>
  <c r="O15" i="108"/>
  <c r="O17" i="108" s="1"/>
  <c r="Q27" i="108"/>
  <c r="Q28" i="108" s="1"/>
  <c r="Q29" i="108" s="1"/>
  <c r="Q31" i="108" s="1"/>
  <c r="Q32" i="108" s="1"/>
  <c r="P28" i="108"/>
  <c r="P29" i="108" s="1"/>
  <c r="P31" i="108" s="1"/>
  <c r="P32" i="108" s="1"/>
  <c r="F19" i="104"/>
  <c r="F22" i="104" s="1"/>
  <c r="F24" i="104" s="1"/>
  <c r="C19" i="109"/>
  <c r="C22" i="109" s="1"/>
  <c r="C24" i="109" s="1"/>
  <c r="F19" i="108"/>
  <c r="F22" i="108" s="1"/>
  <c r="F24" i="108" s="1"/>
  <c r="O19" i="103"/>
  <c r="N19" i="109"/>
  <c r="N22" i="109" s="1"/>
  <c r="N24" i="109" s="1"/>
  <c r="G19" i="108"/>
  <c r="G22" i="108" s="1"/>
  <c r="G24" i="108" s="1"/>
  <c r="I19" i="108"/>
  <c r="I22" i="108" s="1"/>
  <c r="I24" i="108" s="1"/>
  <c r="M19" i="108"/>
  <c r="M22" i="108" s="1"/>
  <c r="M24" i="108" s="1"/>
  <c r="K19" i="108"/>
  <c r="K22" i="108" s="1"/>
  <c r="K24" i="108" s="1"/>
  <c r="J19" i="109"/>
  <c r="J22" i="109" s="1"/>
  <c r="J24" i="109" s="1"/>
  <c r="C19" i="108"/>
  <c r="D19" i="108"/>
  <c r="D22" i="108" s="1"/>
  <c r="D24" i="108" s="1"/>
  <c r="H19" i="108"/>
  <c r="H22" i="108" s="1"/>
  <c r="H24" i="108" s="1"/>
  <c r="E19" i="108"/>
  <c r="E22" i="108" s="1"/>
  <c r="E24" i="108" s="1"/>
  <c r="L19" i="108"/>
  <c r="L22" i="108" s="1"/>
  <c r="L24" i="108" s="1"/>
  <c r="E19" i="109"/>
  <c r="E22" i="109" s="1"/>
  <c r="E24" i="109" s="1"/>
  <c r="I19" i="109"/>
  <c r="I22" i="109" s="1"/>
  <c r="I24" i="109" s="1"/>
  <c r="D19" i="109"/>
  <c r="D22" i="109" s="1"/>
  <c r="D24" i="109" s="1"/>
  <c r="H19" i="109"/>
  <c r="H22" i="109" s="1"/>
  <c r="H24" i="109" s="1"/>
  <c r="L19" i="109"/>
  <c r="L22" i="109" s="1"/>
  <c r="L24" i="109" s="1"/>
  <c r="M19" i="109"/>
  <c r="M22" i="109" s="1"/>
  <c r="M24" i="109" s="1"/>
  <c r="F19" i="109"/>
  <c r="F22" i="109" s="1"/>
  <c r="F24" i="109" s="1"/>
  <c r="G19" i="109"/>
  <c r="G22" i="109" s="1"/>
  <c r="G24" i="109" s="1"/>
  <c r="O15" i="104"/>
  <c r="O17" i="104" s="1"/>
  <c r="D19" i="104"/>
  <c r="D22" i="104" s="1"/>
  <c r="D24" i="104" s="1"/>
  <c r="L19" i="104"/>
  <c r="L22" i="104" s="1"/>
  <c r="L24" i="104" s="1"/>
  <c r="M19" i="104"/>
  <c r="M22" i="104" s="1"/>
  <c r="M24" i="104" s="1"/>
  <c r="I19" i="104"/>
  <c r="I22" i="104" s="1"/>
  <c r="I24" i="104" s="1"/>
  <c r="H19" i="104"/>
  <c r="H22" i="104" s="1"/>
  <c r="H24" i="104" s="1"/>
  <c r="E19" i="104"/>
  <c r="E22" i="104" s="1"/>
  <c r="E24" i="104" s="1"/>
  <c r="C19" i="104"/>
  <c r="G19" i="104"/>
  <c r="G22" i="104" s="1"/>
  <c r="G24" i="104" s="1"/>
  <c r="K19" i="104"/>
  <c r="K22" i="104" s="1"/>
  <c r="K24" i="104" s="1"/>
  <c r="O19" i="100"/>
  <c r="O21" i="100" s="1"/>
  <c r="F19" i="101"/>
  <c r="F22" i="101" s="1"/>
  <c r="F24" i="101" s="1"/>
  <c r="J19" i="101"/>
  <c r="J22" i="101" s="1"/>
  <c r="J24" i="101" s="1"/>
  <c r="N19" i="101"/>
  <c r="N22" i="101" s="1"/>
  <c r="N24" i="101" s="1"/>
  <c r="C19" i="101"/>
  <c r="G19" i="101"/>
  <c r="G22" i="101" s="1"/>
  <c r="G24" i="101" s="1"/>
  <c r="K19" i="101"/>
  <c r="K22" i="101" s="1"/>
  <c r="K24" i="101" s="1"/>
  <c r="D19" i="101"/>
  <c r="D22" i="101" s="1"/>
  <c r="D24" i="101" s="1"/>
  <c r="H19" i="101"/>
  <c r="H22" i="101" s="1"/>
  <c r="H24" i="101" s="1"/>
  <c r="L19" i="101"/>
  <c r="L22" i="101" s="1"/>
  <c r="L24" i="101" s="1"/>
  <c r="E19" i="101"/>
  <c r="E22" i="101" s="1"/>
  <c r="E24" i="101" s="1"/>
  <c r="I19" i="101"/>
  <c r="I22" i="101" s="1"/>
  <c r="I24" i="101" s="1"/>
  <c r="M19" i="101"/>
  <c r="M22" i="101" s="1"/>
  <c r="M24" i="101" s="1"/>
  <c r="E23" i="100"/>
  <c r="E26" i="100" s="1"/>
  <c r="E28" i="100" s="1"/>
  <c r="I23" i="100"/>
  <c r="I26" i="100" s="1"/>
  <c r="I28" i="100" s="1"/>
  <c r="M23" i="100"/>
  <c r="M26" i="100" s="1"/>
  <c r="M28" i="100" s="1"/>
  <c r="C23" i="100"/>
  <c r="G23" i="100"/>
  <c r="G26" i="100" s="1"/>
  <c r="G28" i="100" s="1"/>
  <c r="K23" i="100"/>
  <c r="K26" i="100" s="1"/>
  <c r="K28" i="100" s="1"/>
  <c r="F23" i="100"/>
  <c r="F26" i="100" s="1"/>
  <c r="F28" i="100" s="1"/>
  <c r="J23" i="100"/>
  <c r="J26" i="100" s="1"/>
  <c r="J28" i="100" s="1"/>
  <c r="N23" i="100"/>
  <c r="N26" i="100" s="1"/>
  <c r="N28" i="100" s="1"/>
  <c r="D23" i="100"/>
  <c r="D26" i="100" s="1"/>
  <c r="D28" i="100" s="1"/>
  <c r="H23" i="100"/>
  <c r="H26" i="100" s="1"/>
  <c r="H28" i="100" s="1"/>
  <c r="L23" i="100"/>
  <c r="L26" i="100" s="1"/>
  <c r="L28" i="100" s="1"/>
  <c r="O31" i="106" l="1"/>
  <c r="P31" i="106" s="1"/>
  <c r="O32" i="102"/>
  <c r="O33" i="102" s="1"/>
  <c r="O35" i="102" s="1"/>
  <c r="P31" i="102"/>
  <c r="M41" i="117"/>
  <c r="AF73" i="29"/>
  <c r="K41" i="116"/>
  <c r="M37" i="111"/>
  <c r="AJ41" i="29"/>
  <c r="M41" i="114"/>
  <c r="AJ71" i="29"/>
  <c r="N37" i="115"/>
  <c r="AL72" i="29"/>
  <c r="Q41" i="100"/>
  <c r="Q37" i="109"/>
  <c r="Q37" i="108"/>
  <c r="Q41" i="105"/>
  <c r="Q37" i="104"/>
  <c r="Q37" i="101"/>
  <c r="Q41" i="103"/>
  <c r="O41" i="114"/>
  <c r="L37" i="113"/>
  <c r="AJ67" i="29"/>
  <c r="P33" i="108"/>
  <c r="P37" i="108"/>
  <c r="P41" i="102"/>
  <c r="P37" i="105"/>
  <c r="P41" i="105"/>
  <c r="P37" i="101"/>
  <c r="P33" i="101"/>
  <c r="P41" i="100"/>
  <c r="P37" i="100"/>
  <c r="P37" i="104"/>
  <c r="P33" i="104"/>
  <c r="P37" i="109"/>
  <c r="P33" i="109"/>
  <c r="P37" i="103"/>
  <c r="P41" i="103"/>
  <c r="C41" i="103"/>
  <c r="N53" i="29"/>
  <c r="K26" i="109"/>
  <c r="K28" i="109" s="1"/>
  <c r="K29" i="109" s="1"/>
  <c r="K31" i="109" s="1"/>
  <c r="G26" i="109"/>
  <c r="G28" i="109" s="1"/>
  <c r="G29" i="109" s="1"/>
  <c r="G31" i="109" s="1"/>
  <c r="C26" i="109"/>
  <c r="C28" i="109" s="1"/>
  <c r="C29" i="109" s="1"/>
  <c r="C31" i="109" s="1"/>
  <c r="C32" i="109" s="1"/>
  <c r="N26" i="109"/>
  <c r="N28" i="109" s="1"/>
  <c r="N29" i="109" s="1"/>
  <c r="N31" i="109" s="1"/>
  <c r="J26" i="109"/>
  <c r="J28" i="109" s="1"/>
  <c r="J29" i="109" s="1"/>
  <c r="J31" i="109" s="1"/>
  <c r="F26" i="109"/>
  <c r="F28" i="109" s="1"/>
  <c r="F29" i="109" s="1"/>
  <c r="F31" i="109" s="1"/>
  <c r="L26" i="109"/>
  <c r="L28" i="109" s="1"/>
  <c r="L29" i="109" s="1"/>
  <c r="L31" i="109" s="1"/>
  <c r="D26" i="109"/>
  <c r="D28" i="109" s="1"/>
  <c r="D29" i="109" s="1"/>
  <c r="D31" i="109" s="1"/>
  <c r="I26" i="109"/>
  <c r="I28" i="109" s="1"/>
  <c r="I29" i="109" s="1"/>
  <c r="I31" i="109" s="1"/>
  <c r="H26" i="109"/>
  <c r="H28" i="109" s="1"/>
  <c r="H29" i="109" s="1"/>
  <c r="H31" i="109" s="1"/>
  <c r="M26" i="109"/>
  <c r="M28" i="109" s="1"/>
  <c r="M29" i="109" s="1"/>
  <c r="M31" i="109" s="1"/>
  <c r="E26" i="109"/>
  <c r="E28" i="109" s="1"/>
  <c r="E29" i="109" s="1"/>
  <c r="E31" i="109" s="1"/>
  <c r="C22" i="108"/>
  <c r="C24" i="108" s="1"/>
  <c r="O19" i="108"/>
  <c r="O22" i="108" s="1"/>
  <c r="O24" i="108" s="1"/>
  <c r="O26" i="108" s="1"/>
  <c r="O28" i="108" s="1"/>
  <c r="O29" i="108" s="1"/>
  <c r="O31" i="108" s="1"/>
  <c r="O19" i="109"/>
  <c r="O22" i="109" s="1"/>
  <c r="O24" i="109" s="1"/>
  <c r="O26" i="109" s="1"/>
  <c r="O28" i="109" s="1"/>
  <c r="O29" i="109" s="1"/>
  <c r="O31" i="109" s="1"/>
  <c r="C22" i="104"/>
  <c r="C24" i="104" s="1"/>
  <c r="O19" i="104"/>
  <c r="O22" i="104" s="1"/>
  <c r="O24" i="104" s="1"/>
  <c r="O26" i="104" s="1"/>
  <c r="O28" i="104" s="1"/>
  <c r="O29" i="104" s="1"/>
  <c r="O31" i="104" s="1"/>
  <c r="C22" i="101"/>
  <c r="C24" i="101" s="1"/>
  <c r="O19" i="101"/>
  <c r="O22" i="101" s="1"/>
  <c r="O24" i="101" s="1"/>
  <c r="O26" i="101" s="1"/>
  <c r="O28" i="101" s="1"/>
  <c r="O29" i="101" s="1"/>
  <c r="O31" i="101" s="1"/>
  <c r="C26" i="100"/>
  <c r="C28" i="100" s="1"/>
  <c r="O23" i="100"/>
  <c r="O26" i="100" s="1"/>
  <c r="O28" i="100" s="1"/>
  <c r="O30" i="100" s="1"/>
  <c r="O32" i="100" s="1"/>
  <c r="O33" i="100" s="1"/>
  <c r="O35" i="100" s="1"/>
  <c r="O32" i="106" l="1"/>
  <c r="O33" i="106" s="1"/>
  <c r="O35" i="106" s="1"/>
  <c r="P32" i="106"/>
  <c r="P35" i="106" s="1"/>
  <c r="Q31" i="106"/>
  <c r="Q32" i="106" s="1"/>
  <c r="Q35" i="106" s="1"/>
  <c r="Q36" i="106" s="1"/>
  <c r="Q41" i="106" s="1"/>
  <c r="P32" i="102"/>
  <c r="P33" i="102" s="1"/>
  <c r="P35" i="102" s="1"/>
  <c r="P37" i="102" s="1"/>
  <c r="P39" i="102" s="1"/>
  <c r="Q31" i="102"/>
  <c r="Q32" i="102" s="1"/>
  <c r="Q33" i="102" s="1"/>
  <c r="Q35" i="102" s="1"/>
  <c r="Q36" i="102" s="1"/>
  <c r="Q41" i="102" s="1"/>
  <c r="AJ9" i="29"/>
  <c r="D32" i="109"/>
  <c r="E32" i="109" s="1"/>
  <c r="F32" i="109" s="1"/>
  <c r="AH73" i="29"/>
  <c r="L41" i="116"/>
  <c r="AL41" i="29"/>
  <c r="N37" i="111"/>
  <c r="O37" i="111"/>
  <c r="N41" i="114"/>
  <c r="AL71" i="29"/>
  <c r="M37" i="113"/>
  <c r="AL67" i="29"/>
  <c r="P35" i="104"/>
  <c r="V31" i="29"/>
  <c r="P39" i="100"/>
  <c r="V39" i="29"/>
  <c r="P39" i="103"/>
  <c r="V53" i="29"/>
  <c r="P35" i="101"/>
  <c r="V40" i="29"/>
  <c r="P35" i="109"/>
  <c r="V65" i="29"/>
  <c r="P39" i="105"/>
  <c r="V68" i="29"/>
  <c r="P35" i="108"/>
  <c r="V64" i="29"/>
  <c r="D41" i="103"/>
  <c r="P53" i="29"/>
  <c r="C37" i="109"/>
  <c r="N65" i="29"/>
  <c r="M26" i="108"/>
  <c r="M28" i="108" s="1"/>
  <c r="M29" i="108" s="1"/>
  <c r="M31" i="108" s="1"/>
  <c r="I26" i="108"/>
  <c r="I28" i="108" s="1"/>
  <c r="I29" i="108" s="1"/>
  <c r="I31" i="108" s="1"/>
  <c r="E26" i="108"/>
  <c r="E28" i="108" s="1"/>
  <c r="E29" i="108" s="1"/>
  <c r="E31" i="108" s="1"/>
  <c r="L26" i="108"/>
  <c r="L28" i="108" s="1"/>
  <c r="L29" i="108" s="1"/>
  <c r="L31" i="108" s="1"/>
  <c r="G26" i="108"/>
  <c r="G28" i="108" s="1"/>
  <c r="G29" i="108" s="1"/>
  <c r="G31" i="108" s="1"/>
  <c r="K26" i="108"/>
  <c r="K28" i="108" s="1"/>
  <c r="K29" i="108" s="1"/>
  <c r="K31" i="108" s="1"/>
  <c r="F26" i="108"/>
  <c r="F28" i="108" s="1"/>
  <c r="F29" i="108" s="1"/>
  <c r="F31" i="108" s="1"/>
  <c r="J26" i="108"/>
  <c r="J28" i="108" s="1"/>
  <c r="J29" i="108" s="1"/>
  <c r="J31" i="108" s="1"/>
  <c r="D26" i="108"/>
  <c r="D28" i="108" s="1"/>
  <c r="D29" i="108" s="1"/>
  <c r="D31" i="108" s="1"/>
  <c r="C26" i="108"/>
  <c r="C28" i="108" s="1"/>
  <c r="C29" i="108" s="1"/>
  <c r="C31" i="108" s="1"/>
  <c r="C32" i="108" s="1"/>
  <c r="N26" i="108"/>
  <c r="N28" i="108" s="1"/>
  <c r="N29" i="108" s="1"/>
  <c r="N31" i="108" s="1"/>
  <c r="H26" i="108"/>
  <c r="H28" i="108" s="1"/>
  <c r="H29" i="108" s="1"/>
  <c r="H31" i="108" s="1"/>
  <c r="K26" i="104"/>
  <c r="K28" i="104" s="1"/>
  <c r="K29" i="104" s="1"/>
  <c r="K31" i="104" s="1"/>
  <c r="G26" i="104"/>
  <c r="G28" i="104" s="1"/>
  <c r="G29" i="104" s="1"/>
  <c r="G31" i="104" s="1"/>
  <c r="C26" i="104"/>
  <c r="C28" i="104" s="1"/>
  <c r="C29" i="104" s="1"/>
  <c r="C31" i="104" s="1"/>
  <c r="C32" i="104" s="1"/>
  <c r="N26" i="104"/>
  <c r="N28" i="104" s="1"/>
  <c r="N29" i="104" s="1"/>
  <c r="N31" i="104" s="1"/>
  <c r="J26" i="104"/>
  <c r="J28" i="104" s="1"/>
  <c r="J29" i="104" s="1"/>
  <c r="J31" i="104" s="1"/>
  <c r="F26" i="104"/>
  <c r="F28" i="104" s="1"/>
  <c r="F29" i="104" s="1"/>
  <c r="F31" i="104" s="1"/>
  <c r="M26" i="104"/>
  <c r="M28" i="104" s="1"/>
  <c r="M29" i="104" s="1"/>
  <c r="M31" i="104" s="1"/>
  <c r="I26" i="104"/>
  <c r="I28" i="104" s="1"/>
  <c r="I29" i="104" s="1"/>
  <c r="I31" i="104" s="1"/>
  <c r="E26" i="104"/>
  <c r="E28" i="104" s="1"/>
  <c r="E29" i="104" s="1"/>
  <c r="E31" i="104" s="1"/>
  <c r="H26" i="104"/>
  <c r="H28" i="104" s="1"/>
  <c r="H29" i="104" s="1"/>
  <c r="H31" i="104" s="1"/>
  <c r="D26" i="104"/>
  <c r="D28" i="104" s="1"/>
  <c r="D29" i="104" s="1"/>
  <c r="D31" i="104" s="1"/>
  <c r="D32" i="104" s="1"/>
  <c r="L26" i="104"/>
  <c r="L28" i="104" s="1"/>
  <c r="L29" i="104" s="1"/>
  <c r="L31" i="104" s="1"/>
  <c r="K26" i="101"/>
  <c r="K28" i="101" s="1"/>
  <c r="K29" i="101" s="1"/>
  <c r="K31" i="101" s="1"/>
  <c r="G26" i="101"/>
  <c r="G28" i="101" s="1"/>
  <c r="G29" i="101" s="1"/>
  <c r="G31" i="101" s="1"/>
  <c r="C26" i="101"/>
  <c r="C28" i="101" s="1"/>
  <c r="C29" i="101" s="1"/>
  <c r="C31" i="101" s="1"/>
  <c r="C32" i="101" s="1"/>
  <c r="H26" i="101"/>
  <c r="H28" i="101" s="1"/>
  <c r="H29" i="101" s="1"/>
  <c r="H31" i="101" s="1"/>
  <c r="N26" i="101"/>
  <c r="N28" i="101" s="1"/>
  <c r="N29" i="101" s="1"/>
  <c r="N31" i="101" s="1"/>
  <c r="J26" i="101"/>
  <c r="J28" i="101" s="1"/>
  <c r="J29" i="101" s="1"/>
  <c r="J31" i="101" s="1"/>
  <c r="F26" i="101"/>
  <c r="F28" i="101" s="1"/>
  <c r="F29" i="101" s="1"/>
  <c r="F31" i="101" s="1"/>
  <c r="D26" i="101"/>
  <c r="D28" i="101" s="1"/>
  <c r="D29" i="101" s="1"/>
  <c r="D31" i="101" s="1"/>
  <c r="M26" i="101"/>
  <c r="M28" i="101" s="1"/>
  <c r="M29" i="101" s="1"/>
  <c r="M31" i="101" s="1"/>
  <c r="I26" i="101"/>
  <c r="I28" i="101" s="1"/>
  <c r="I29" i="101" s="1"/>
  <c r="I31" i="101" s="1"/>
  <c r="E26" i="101"/>
  <c r="E28" i="101" s="1"/>
  <c r="E29" i="101" s="1"/>
  <c r="E31" i="101" s="1"/>
  <c r="L26" i="101"/>
  <c r="L28" i="101" s="1"/>
  <c r="L29" i="101" s="1"/>
  <c r="L31" i="101" s="1"/>
  <c r="K30" i="100"/>
  <c r="K32" i="100" s="1"/>
  <c r="K33" i="100" s="1"/>
  <c r="K35" i="100" s="1"/>
  <c r="C30" i="100"/>
  <c r="C32" i="100" s="1"/>
  <c r="C33" i="100" s="1"/>
  <c r="C35" i="100" s="1"/>
  <c r="C36" i="100" s="1"/>
  <c r="I30" i="100"/>
  <c r="I32" i="100" s="1"/>
  <c r="I33" i="100" s="1"/>
  <c r="I35" i="100" s="1"/>
  <c r="N30" i="100"/>
  <c r="N32" i="100" s="1"/>
  <c r="N33" i="100" s="1"/>
  <c r="N35" i="100" s="1"/>
  <c r="J30" i="100"/>
  <c r="J32" i="100" s="1"/>
  <c r="J33" i="100" s="1"/>
  <c r="J35" i="100" s="1"/>
  <c r="F30" i="100"/>
  <c r="F32" i="100" s="1"/>
  <c r="F33" i="100" s="1"/>
  <c r="F35" i="100" s="1"/>
  <c r="E30" i="100"/>
  <c r="E32" i="100" s="1"/>
  <c r="E33" i="100" s="1"/>
  <c r="E35" i="100" s="1"/>
  <c r="L30" i="100"/>
  <c r="L32" i="100" s="1"/>
  <c r="L33" i="100" s="1"/>
  <c r="L35" i="100" s="1"/>
  <c r="H30" i="100"/>
  <c r="H32" i="100" s="1"/>
  <c r="H33" i="100" s="1"/>
  <c r="H35" i="100" s="1"/>
  <c r="D30" i="100"/>
  <c r="D32" i="100" s="1"/>
  <c r="D33" i="100" s="1"/>
  <c r="D35" i="100" s="1"/>
  <c r="D36" i="100" s="1"/>
  <c r="G30" i="100"/>
  <c r="G32" i="100" s="1"/>
  <c r="G33" i="100" s="1"/>
  <c r="G35" i="100" s="1"/>
  <c r="M30" i="100"/>
  <c r="M32" i="100" s="1"/>
  <c r="M33" i="100" s="1"/>
  <c r="M35" i="100" s="1"/>
  <c r="AK56" i="29"/>
  <c r="AI56" i="29"/>
  <c r="AG56" i="29"/>
  <c r="AE56" i="29"/>
  <c r="AC56" i="29"/>
  <c r="AA56" i="29"/>
  <c r="Y56" i="29"/>
  <c r="W56" i="29"/>
  <c r="S56" i="29"/>
  <c r="Q56" i="29"/>
  <c r="O56" i="29"/>
  <c r="M56" i="29"/>
  <c r="O17" i="98"/>
  <c r="O15" i="98"/>
  <c r="O13" i="98"/>
  <c r="V19" i="29" l="1"/>
  <c r="P36" i="106"/>
  <c r="P41" i="106" s="1"/>
  <c r="P37" i="106"/>
  <c r="O41" i="117"/>
  <c r="N41" i="117"/>
  <c r="AL9" i="29"/>
  <c r="G32" i="109"/>
  <c r="X65" i="29" s="1"/>
  <c r="X53" i="29"/>
  <c r="D32" i="101"/>
  <c r="D37" i="101" s="1"/>
  <c r="D32" i="108"/>
  <c r="E32" i="108" s="1"/>
  <c r="F32" i="108" s="1"/>
  <c r="E36" i="100"/>
  <c r="F36" i="100" s="1"/>
  <c r="E32" i="104"/>
  <c r="F32" i="104" s="1"/>
  <c r="AJ73" i="29"/>
  <c r="M41" i="116"/>
  <c r="N37" i="113"/>
  <c r="O37" i="113"/>
  <c r="O19" i="98"/>
  <c r="O21" i="98" s="1"/>
  <c r="O28" i="98" s="1"/>
  <c r="O30" i="98" s="1"/>
  <c r="E41" i="103"/>
  <c r="R53" i="29"/>
  <c r="C37" i="108"/>
  <c r="N64" i="29"/>
  <c r="C37" i="101"/>
  <c r="N40" i="29"/>
  <c r="C41" i="102"/>
  <c r="N19" i="29"/>
  <c r="D41" i="106"/>
  <c r="D37" i="109"/>
  <c r="P65" i="29"/>
  <c r="D41" i="100"/>
  <c r="P39" i="29"/>
  <c r="C41" i="100"/>
  <c r="N39" i="29"/>
  <c r="D37" i="104"/>
  <c r="P31" i="29"/>
  <c r="C37" i="104"/>
  <c r="N31" i="29"/>
  <c r="C41" i="105"/>
  <c r="N68" i="29"/>
  <c r="C41" i="106"/>
  <c r="N66" i="29"/>
  <c r="T53" i="29"/>
  <c r="V66" i="29" l="1"/>
  <c r="P39" i="106"/>
  <c r="O31" i="98"/>
  <c r="P31" i="98" s="1"/>
  <c r="G32" i="104"/>
  <c r="X31" i="29" s="1"/>
  <c r="F41" i="106"/>
  <c r="G36" i="100"/>
  <c r="X39" i="29" s="1"/>
  <c r="E32" i="101"/>
  <c r="F32" i="101" s="1"/>
  <c r="T40" i="29" s="1"/>
  <c r="P40" i="29"/>
  <c r="P64" i="29"/>
  <c r="X68" i="29"/>
  <c r="H32" i="104"/>
  <c r="G32" i="108"/>
  <c r="O41" i="116"/>
  <c r="N41" i="116"/>
  <c r="AL73" i="29"/>
  <c r="H32" i="109"/>
  <c r="I32" i="109" s="1"/>
  <c r="J32" i="109" s="1"/>
  <c r="P66" i="29"/>
  <c r="R66" i="29"/>
  <c r="F37" i="104"/>
  <c r="T31" i="29"/>
  <c r="R40" i="29"/>
  <c r="D41" i="102"/>
  <c r="P19" i="29"/>
  <c r="E37" i="104"/>
  <c r="R31" i="29"/>
  <c r="E37" i="109"/>
  <c r="R65" i="29"/>
  <c r="E41" i="100"/>
  <c r="R39" i="29"/>
  <c r="D41" i="105"/>
  <c r="P68" i="29"/>
  <c r="T39" i="29"/>
  <c r="T65" i="29"/>
  <c r="D37" i="108"/>
  <c r="R64" i="29"/>
  <c r="R68" i="29"/>
  <c r="F41" i="103"/>
  <c r="O32" i="98" l="1"/>
  <c r="O33" i="98" s="1"/>
  <c r="O35" i="98" s="1"/>
  <c r="P32" i="98"/>
  <c r="P35" i="98" s="1"/>
  <c r="Q31" i="98"/>
  <c r="Q32" i="98" s="1"/>
  <c r="Q35" i="98" s="1"/>
  <c r="Q36" i="98" s="1"/>
  <c r="Q41" i="98" s="1"/>
  <c r="T66" i="29"/>
  <c r="E41" i="106"/>
  <c r="H36" i="100"/>
  <c r="I36" i="100" s="1"/>
  <c r="G32" i="101"/>
  <c r="E37" i="101"/>
  <c r="H32" i="108"/>
  <c r="I32" i="108" s="1"/>
  <c r="J32" i="108" s="1"/>
  <c r="X64" i="29"/>
  <c r="X19" i="29"/>
  <c r="H32" i="101"/>
  <c r="I32" i="101" s="1"/>
  <c r="G41" i="106"/>
  <c r="I32" i="104"/>
  <c r="J32" i="104" s="1"/>
  <c r="J36" i="100"/>
  <c r="K36" i="100" s="1"/>
  <c r="K32" i="109"/>
  <c r="L32" i="109" s="1"/>
  <c r="M32" i="109" s="1"/>
  <c r="N32" i="109" s="1"/>
  <c r="O32" i="109" s="1"/>
  <c r="F41" i="100"/>
  <c r="R19" i="29"/>
  <c r="G41" i="100"/>
  <c r="Z53" i="29"/>
  <c r="F37" i="109"/>
  <c r="E37" i="108"/>
  <c r="T64" i="29"/>
  <c r="E41" i="105"/>
  <c r="G37" i="104"/>
  <c r="Z31" i="29"/>
  <c r="G41" i="103"/>
  <c r="E41" i="102"/>
  <c r="F37" i="101"/>
  <c r="P36" i="98" l="1"/>
  <c r="P41" i="98" s="1"/>
  <c r="P37" i="98"/>
  <c r="L36" i="100"/>
  <c r="M36" i="100" s="1"/>
  <c r="X66" i="29"/>
  <c r="Z66" i="29"/>
  <c r="Z19" i="29"/>
  <c r="X40" i="29"/>
  <c r="J32" i="101"/>
  <c r="K32" i="101" s="1"/>
  <c r="L32" i="101" s="1"/>
  <c r="M32" i="101" s="1"/>
  <c r="N32" i="101" s="1"/>
  <c r="O32" i="101" s="1"/>
  <c r="K32" i="104"/>
  <c r="L32" i="104" s="1"/>
  <c r="M32" i="104" s="1"/>
  <c r="N32" i="104" s="1"/>
  <c r="O32" i="104" s="1"/>
  <c r="N36" i="100"/>
  <c r="O36" i="100" s="1"/>
  <c r="K32" i="108"/>
  <c r="L32" i="108" s="1"/>
  <c r="M32" i="108" s="1"/>
  <c r="N32" i="108" s="1"/>
  <c r="O32" i="108" s="1"/>
  <c r="H41" i="100"/>
  <c r="Z39" i="29"/>
  <c r="H41" i="103"/>
  <c r="C41" i="98"/>
  <c r="N56" i="29"/>
  <c r="F41" i="105"/>
  <c r="T68" i="29"/>
  <c r="G41" i="102"/>
  <c r="F41" i="102"/>
  <c r="T19" i="29"/>
  <c r="G37" i="109"/>
  <c r="F37" i="108"/>
  <c r="H37" i="104"/>
  <c r="AB31" i="29"/>
  <c r="I41" i="103"/>
  <c r="G37" i="101"/>
  <c r="V56" i="29" l="1"/>
  <c r="P39" i="98"/>
  <c r="H41" i="106"/>
  <c r="X56" i="29"/>
  <c r="I41" i="100"/>
  <c r="AB39" i="29"/>
  <c r="H37" i="101"/>
  <c r="Z40" i="29"/>
  <c r="H37" i="109"/>
  <c r="Z65" i="29"/>
  <c r="AB53" i="29"/>
  <c r="G37" i="108"/>
  <c r="D41" i="98"/>
  <c r="P56" i="29"/>
  <c r="Z64" i="29"/>
  <c r="G41" i="105"/>
  <c r="I37" i="104"/>
  <c r="H41" i="102"/>
  <c r="R56" i="29"/>
  <c r="AB66" i="29" l="1"/>
  <c r="I41" i="106"/>
  <c r="AB19" i="29"/>
  <c r="J41" i="100"/>
  <c r="AD39" i="29"/>
  <c r="J37" i="104"/>
  <c r="AD31" i="29"/>
  <c r="J41" i="106"/>
  <c r="AD66" i="29"/>
  <c r="J41" i="103"/>
  <c r="AD53" i="29"/>
  <c r="I37" i="101"/>
  <c r="AB40" i="29"/>
  <c r="I37" i="109"/>
  <c r="AB65" i="29"/>
  <c r="AB68" i="29"/>
  <c r="Z68" i="29"/>
  <c r="H37" i="108"/>
  <c r="AB64" i="29"/>
  <c r="H41" i="105"/>
  <c r="AF31" i="29"/>
  <c r="I41" i="102"/>
  <c r="AD19" i="29"/>
  <c r="E41" i="98"/>
  <c r="AF40" i="29" l="1"/>
  <c r="AD40" i="29"/>
  <c r="J37" i="109"/>
  <c r="AD65" i="29"/>
  <c r="I41" i="105"/>
  <c r="AF39" i="29"/>
  <c r="K41" i="106"/>
  <c r="AF66" i="29"/>
  <c r="K41" i="103"/>
  <c r="AF53" i="29"/>
  <c r="AH66" i="29"/>
  <c r="K41" i="100"/>
  <c r="J37" i="101"/>
  <c r="F41" i="98"/>
  <c r="T56" i="29"/>
  <c r="I37" i="108"/>
  <c r="AD64" i="29"/>
  <c r="K37" i="104"/>
  <c r="AH31" i="29"/>
  <c r="J41" i="102"/>
  <c r="AF19" i="29"/>
  <c r="K37" i="101"/>
  <c r="AH40" i="29"/>
  <c r="AJ66" i="29" l="1"/>
  <c r="L41" i="106"/>
  <c r="M41" i="103"/>
  <c r="AJ53" i="29"/>
  <c r="J41" i="105"/>
  <c r="AD68" i="29"/>
  <c r="L41" i="100"/>
  <c r="AH39" i="29"/>
  <c r="M41" i="100"/>
  <c r="AJ39" i="29"/>
  <c r="AH65" i="29"/>
  <c r="AF65" i="29"/>
  <c r="L41" i="103"/>
  <c r="AH53" i="29"/>
  <c r="AF68" i="29"/>
  <c r="K41" i="102"/>
  <c r="K37" i="109"/>
  <c r="J37" i="108"/>
  <c r="AF64" i="29"/>
  <c r="L37" i="109"/>
  <c r="AJ65" i="29"/>
  <c r="M41" i="106"/>
  <c r="AL66" i="29"/>
  <c r="AH68" i="29"/>
  <c r="L37" i="104"/>
  <c r="AJ31" i="29"/>
  <c r="AH19" i="29"/>
  <c r="L37" i="101"/>
  <c r="AJ40" i="29"/>
  <c r="G41" i="98"/>
  <c r="Z56" i="29"/>
  <c r="K41" i="105" l="1"/>
  <c r="N41" i="100"/>
  <c r="AL39" i="29"/>
  <c r="N41" i="103"/>
  <c r="AL53" i="29"/>
  <c r="O41" i="103"/>
  <c r="O41" i="100"/>
  <c r="M37" i="109"/>
  <c r="AL65" i="29"/>
  <c r="K37" i="108"/>
  <c r="AH64" i="29"/>
  <c r="N41" i="106"/>
  <c r="O41" i="106"/>
  <c r="L41" i="105"/>
  <c r="AJ68" i="29"/>
  <c r="M37" i="104"/>
  <c r="AL31" i="29"/>
  <c r="L41" i="102"/>
  <c r="AJ19" i="29"/>
  <c r="M37" i="101"/>
  <c r="AL40" i="29"/>
  <c r="H41" i="98"/>
  <c r="AB56" i="29"/>
  <c r="L37" i="108" l="1"/>
  <c r="AJ64" i="29"/>
  <c r="N37" i="109"/>
  <c r="O37" i="109"/>
  <c r="M41" i="105"/>
  <c r="AL68" i="29"/>
  <c r="N37" i="104"/>
  <c r="O37" i="104"/>
  <c r="M41" i="102"/>
  <c r="AL19" i="29"/>
  <c r="N37" i="101"/>
  <c r="O37" i="101"/>
  <c r="I41" i="98"/>
  <c r="J41" i="98" l="1"/>
  <c r="AD56" i="29"/>
  <c r="AF56" i="29"/>
  <c r="M37" i="108"/>
  <c r="AL64" i="29"/>
  <c r="N41" i="105"/>
  <c r="O41" i="105"/>
  <c r="N41" i="102"/>
  <c r="O41" i="102"/>
  <c r="K41" i="98" l="1"/>
  <c r="N37" i="108"/>
  <c r="O37" i="108"/>
  <c r="L41" i="98" l="1"/>
  <c r="AH56" i="29"/>
  <c r="M41" i="98" l="1"/>
  <c r="AJ56" i="29"/>
  <c r="P31" i="97"/>
  <c r="AI57" i="29"/>
  <c r="AG57" i="29"/>
  <c r="AE57" i="29"/>
  <c r="AA57" i="29"/>
  <c r="Y57" i="29"/>
  <c r="W57" i="29"/>
  <c r="Q57" i="29"/>
  <c r="O57" i="29"/>
  <c r="M57" i="29"/>
  <c r="O17" i="97"/>
  <c r="O15" i="97"/>
  <c r="O13" i="97"/>
  <c r="AK30" i="29"/>
  <c r="AI30" i="29"/>
  <c r="AG30" i="29"/>
  <c r="AE30" i="29"/>
  <c r="AC30" i="29"/>
  <c r="AA30" i="29"/>
  <c r="Y30" i="29"/>
  <c r="W30" i="29"/>
  <c r="S30" i="29"/>
  <c r="Q30" i="29"/>
  <c r="O30" i="29"/>
  <c r="M30" i="29"/>
  <c r="O17" i="96"/>
  <c r="O15" i="96"/>
  <c r="O13" i="96"/>
  <c r="S57" i="29" l="1"/>
  <c r="AC57" i="29"/>
  <c r="AK57" i="29"/>
  <c r="O19" i="96"/>
  <c r="O21" i="96" s="1"/>
  <c r="O28" i="96" s="1"/>
  <c r="O30" i="96" s="1"/>
  <c r="N41" i="98"/>
  <c r="AL56" i="29"/>
  <c r="O19" i="97"/>
  <c r="Q31" i="97"/>
  <c r="Q32" i="97" s="1"/>
  <c r="Q33" i="97" s="1"/>
  <c r="Q35" i="97" s="1"/>
  <c r="Q36" i="97" s="1"/>
  <c r="P32" i="97"/>
  <c r="P33" i="97" s="1"/>
  <c r="P35" i="97" s="1"/>
  <c r="P36" i="97" s="1"/>
  <c r="O41" i="98"/>
  <c r="O31" i="96" l="1"/>
  <c r="P31" i="96" s="1"/>
  <c r="Q41" i="97"/>
  <c r="P41" i="97"/>
  <c r="P37" i="97"/>
  <c r="Q31" i="96" l="1"/>
  <c r="Q32" i="96" s="1"/>
  <c r="P32" i="96"/>
  <c r="O32" i="96"/>
  <c r="O33" i="96" s="1"/>
  <c r="O35" i="96" s="1"/>
  <c r="P39" i="97"/>
  <c r="V57" i="29"/>
  <c r="P35" i="96" l="1"/>
  <c r="P37" i="96" s="1"/>
  <c r="P33" i="96"/>
  <c r="Q35" i="96"/>
  <c r="Q36" i="96" s="1"/>
  <c r="Q41" i="96" s="1"/>
  <c r="Q33" i="96"/>
  <c r="P36" i="96"/>
  <c r="P41" i="96" s="1"/>
  <c r="C41" i="96"/>
  <c r="N30" i="29"/>
  <c r="C41" i="97"/>
  <c r="N57" i="29"/>
  <c r="P39" i="96" l="1"/>
  <c r="V30" i="29"/>
  <c r="X57" i="29"/>
  <c r="D41" i="96"/>
  <c r="P30" i="29"/>
  <c r="D41" i="97"/>
  <c r="P57" i="29"/>
  <c r="R57" i="29"/>
  <c r="X30" i="29" l="1"/>
  <c r="E41" i="96"/>
  <c r="R30" i="29"/>
  <c r="E41" i="97"/>
  <c r="T30" i="29" l="1"/>
  <c r="F41" i="97"/>
  <c r="T57" i="29"/>
  <c r="Z57" i="29"/>
  <c r="F41" i="96"/>
  <c r="G41" i="97" l="1"/>
  <c r="H41" i="97"/>
  <c r="G41" i="96"/>
  <c r="Z30" i="29"/>
  <c r="I41" i="97" l="1"/>
  <c r="AB57" i="29"/>
  <c r="AD57" i="29"/>
  <c r="H41" i="96"/>
  <c r="AB30" i="29"/>
  <c r="J41" i="97" l="1"/>
  <c r="AF57" i="29"/>
  <c r="I41" i="96"/>
  <c r="AD30" i="29"/>
  <c r="K41" i="97" l="1"/>
  <c r="AH57" i="29"/>
  <c r="J41" i="96"/>
  <c r="AF30" i="29"/>
  <c r="L41" i="97" l="1"/>
  <c r="AJ57" i="29"/>
  <c r="K41" i="96"/>
  <c r="AH30" i="29"/>
  <c r="M41" i="97" l="1"/>
  <c r="AL57" i="29"/>
  <c r="L41" i="96"/>
  <c r="AJ30" i="29"/>
  <c r="N41" i="97" l="1"/>
  <c r="O41" i="97"/>
  <c r="M41" i="96"/>
  <c r="AL30" i="29"/>
  <c r="N41" i="96" l="1"/>
  <c r="O41" i="96"/>
  <c r="AK17" i="29" l="1"/>
  <c r="AI17" i="29"/>
  <c r="AG17" i="29"/>
  <c r="AG2" i="29" s="1"/>
  <c r="AE17" i="29"/>
  <c r="AC17" i="29"/>
  <c r="AA17" i="29"/>
  <c r="Y17" i="29"/>
  <c r="W17" i="29"/>
  <c r="S17" i="29"/>
  <c r="Q17" i="29"/>
  <c r="O17" i="29"/>
  <c r="M17" i="29"/>
  <c r="O17" i="95"/>
  <c r="O15" i="95"/>
  <c r="D27" i="94"/>
  <c r="E27" i="94" s="1"/>
  <c r="F27" i="94" s="1"/>
  <c r="G27" i="94" s="1"/>
  <c r="H27" i="94" s="1"/>
  <c r="I27" i="94" s="1"/>
  <c r="J27" i="94" s="1"/>
  <c r="K27" i="94" s="1"/>
  <c r="L27" i="94" s="1"/>
  <c r="M27" i="94" s="1"/>
  <c r="N27" i="94" s="1"/>
  <c r="O27" i="94" s="1"/>
  <c r="P27" i="94" s="1"/>
  <c r="O21" i="94"/>
  <c r="N17" i="94"/>
  <c r="AK52" i="29" s="1"/>
  <c r="M17" i="94"/>
  <c r="AI52" i="29" s="1"/>
  <c r="L17" i="94"/>
  <c r="AG52" i="29" s="1"/>
  <c r="K17" i="94"/>
  <c r="AE52" i="29" s="1"/>
  <c r="J17" i="94"/>
  <c r="AC52" i="29" s="1"/>
  <c r="I17" i="94"/>
  <c r="AA52" i="29" s="1"/>
  <c r="H17" i="94"/>
  <c r="Y52" i="29" s="1"/>
  <c r="G17" i="94"/>
  <c r="W52" i="29" s="1"/>
  <c r="F17" i="94"/>
  <c r="S52" i="29" s="1"/>
  <c r="E17" i="94"/>
  <c r="Q52" i="29" s="1"/>
  <c r="D17" i="94"/>
  <c r="O52" i="29" s="1"/>
  <c r="C17" i="94"/>
  <c r="M52" i="29" s="1"/>
  <c r="O13" i="94"/>
  <c r="O11" i="94"/>
  <c r="O9" i="94"/>
  <c r="D27" i="93"/>
  <c r="E27" i="93" s="1"/>
  <c r="F27" i="93" s="1"/>
  <c r="G27" i="93" s="1"/>
  <c r="H27" i="93" s="1"/>
  <c r="I27" i="93" s="1"/>
  <c r="J27" i="93" s="1"/>
  <c r="K27" i="93" s="1"/>
  <c r="L27" i="93" s="1"/>
  <c r="M27" i="93" s="1"/>
  <c r="N27" i="93" s="1"/>
  <c r="O27" i="93" s="1"/>
  <c r="P27" i="93" s="1"/>
  <c r="O21" i="93"/>
  <c r="N17" i="93"/>
  <c r="M17" i="93"/>
  <c r="AI48" i="29" s="1"/>
  <c r="L17" i="93"/>
  <c r="AG48" i="29" s="1"/>
  <c r="K17" i="93"/>
  <c r="J17" i="93"/>
  <c r="AC48" i="29" s="1"/>
  <c r="I17" i="93"/>
  <c r="AA48" i="29" s="1"/>
  <c r="H17" i="93"/>
  <c r="Y48" i="29" s="1"/>
  <c r="G17" i="93"/>
  <c r="W48" i="29" s="1"/>
  <c r="F17" i="93"/>
  <c r="S48" i="29" s="1"/>
  <c r="E17" i="93"/>
  <c r="Q48" i="29" s="1"/>
  <c r="D17" i="93"/>
  <c r="O48" i="29" s="1"/>
  <c r="C17" i="93"/>
  <c r="M48" i="29" s="1"/>
  <c r="O13" i="93"/>
  <c r="O11" i="93"/>
  <c r="O9" i="93"/>
  <c r="D27" i="92"/>
  <c r="E27" i="92" s="1"/>
  <c r="F27" i="92" s="1"/>
  <c r="G27" i="92" s="1"/>
  <c r="H27" i="92" s="1"/>
  <c r="I27" i="92" s="1"/>
  <c r="J27" i="92" s="1"/>
  <c r="K27" i="92" s="1"/>
  <c r="L27" i="92" s="1"/>
  <c r="M27" i="92" s="1"/>
  <c r="N27" i="92" s="1"/>
  <c r="O27" i="92" s="1"/>
  <c r="P27" i="92" s="1"/>
  <c r="O21" i="92"/>
  <c r="N17" i="92"/>
  <c r="M17" i="92"/>
  <c r="AI24" i="29" s="1"/>
  <c r="L17" i="92"/>
  <c r="AG24" i="29" s="1"/>
  <c r="K17" i="92"/>
  <c r="AE24" i="29" s="1"/>
  <c r="J17" i="92"/>
  <c r="AC24" i="29" s="1"/>
  <c r="I17" i="92"/>
  <c r="AA24" i="29" s="1"/>
  <c r="H17" i="92"/>
  <c r="Y24" i="29" s="1"/>
  <c r="G17" i="92"/>
  <c r="W24" i="29" s="1"/>
  <c r="F17" i="92"/>
  <c r="S24" i="29" s="1"/>
  <c r="E17" i="92"/>
  <c r="Q24" i="29" s="1"/>
  <c r="D17" i="92"/>
  <c r="O24" i="29" s="1"/>
  <c r="C17" i="92"/>
  <c r="M24" i="29" s="1"/>
  <c r="O13" i="92"/>
  <c r="O11" i="92"/>
  <c r="O9" i="92"/>
  <c r="D27" i="91"/>
  <c r="E27" i="91" s="1"/>
  <c r="F27" i="91" s="1"/>
  <c r="G27" i="91" s="1"/>
  <c r="H27" i="91" s="1"/>
  <c r="I27" i="91" s="1"/>
  <c r="J27" i="91" s="1"/>
  <c r="K27" i="91" s="1"/>
  <c r="L27" i="91" s="1"/>
  <c r="M27" i="91" s="1"/>
  <c r="N27" i="91" s="1"/>
  <c r="O27" i="91" s="1"/>
  <c r="P27" i="91" s="1"/>
  <c r="O21" i="91"/>
  <c r="N17" i="91"/>
  <c r="M17" i="91"/>
  <c r="AI69" i="29" s="1"/>
  <c r="L17" i="91"/>
  <c r="AG69" i="29" s="1"/>
  <c r="K17" i="91"/>
  <c r="AE69" i="29" s="1"/>
  <c r="J17" i="91"/>
  <c r="AC69" i="29" s="1"/>
  <c r="I17" i="91"/>
  <c r="AA69" i="29" s="1"/>
  <c r="H17" i="91"/>
  <c r="Y69" i="29" s="1"/>
  <c r="G17" i="91"/>
  <c r="W69" i="29" s="1"/>
  <c r="F17" i="91"/>
  <c r="S69" i="29" s="1"/>
  <c r="E17" i="91"/>
  <c r="Q69" i="29" s="1"/>
  <c r="D17" i="91"/>
  <c r="O69" i="29" s="1"/>
  <c r="C17" i="91"/>
  <c r="M69" i="29" s="1"/>
  <c r="O13" i="91"/>
  <c r="O11" i="91"/>
  <c r="O9" i="91"/>
  <c r="AI70" i="29"/>
  <c r="AG70" i="29"/>
  <c r="AC70" i="29"/>
  <c r="AA70" i="29"/>
  <c r="Y70" i="29"/>
  <c r="W70" i="29"/>
  <c r="S70" i="29"/>
  <c r="Q70" i="29"/>
  <c r="O70" i="29"/>
  <c r="O17" i="90"/>
  <c r="O15" i="90"/>
  <c r="O13" i="90"/>
  <c r="K19" i="93" l="1"/>
  <c r="K22" i="93" s="1"/>
  <c r="K24" i="93" s="1"/>
  <c r="AE48" i="29"/>
  <c r="M70" i="29"/>
  <c r="AE70" i="29"/>
  <c r="N19" i="92"/>
  <c r="N22" i="92" s="1"/>
  <c r="AK24" i="29"/>
  <c r="AK70" i="29"/>
  <c r="N19" i="91"/>
  <c r="N22" i="91" s="1"/>
  <c r="N24" i="91" s="1"/>
  <c r="AK69" i="29"/>
  <c r="N19" i="93"/>
  <c r="N22" i="93" s="1"/>
  <c r="AK48" i="29"/>
  <c r="Q27" i="94"/>
  <c r="Q28" i="94" s="1"/>
  <c r="Q29" i="94" s="1"/>
  <c r="Q31" i="94" s="1"/>
  <c r="Q32" i="94" s="1"/>
  <c r="P28" i="94"/>
  <c r="P29" i="94" s="1"/>
  <c r="P31" i="94" s="1"/>
  <c r="P32" i="94" s="1"/>
  <c r="Q27" i="91"/>
  <c r="Q28" i="91" s="1"/>
  <c r="Q29" i="91" s="1"/>
  <c r="Q31" i="91" s="1"/>
  <c r="Q32" i="91" s="1"/>
  <c r="P28" i="91"/>
  <c r="P29" i="91" s="1"/>
  <c r="P31" i="91" s="1"/>
  <c r="P32" i="91" s="1"/>
  <c r="O15" i="92"/>
  <c r="O17" i="92" s="1"/>
  <c r="Q27" i="93"/>
  <c r="Q28" i="93" s="1"/>
  <c r="Q29" i="93" s="1"/>
  <c r="Q31" i="93" s="1"/>
  <c r="Q32" i="93" s="1"/>
  <c r="P28" i="93"/>
  <c r="P29" i="93" s="1"/>
  <c r="P31" i="93" s="1"/>
  <c r="P32" i="93" s="1"/>
  <c r="Q27" i="92"/>
  <c r="Q28" i="92" s="1"/>
  <c r="Q29" i="92" s="1"/>
  <c r="Q31" i="92" s="1"/>
  <c r="Q32" i="92" s="1"/>
  <c r="P28" i="92"/>
  <c r="P29" i="92" s="1"/>
  <c r="P31" i="92" s="1"/>
  <c r="O15" i="94"/>
  <c r="O17" i="94" s="1"/>
  <c r="F19" i="93"/>
  <c r="F22" i="93" s="1"/>
  <c r="C19" i="93"/>
  <c r="C22" i="93" s="1"/>
  <c r="C24" i="93" s="1"/>
  <c r="G19" i="93"/>
  <c r="G22" i="93" s="1"/>
  <c r="G24" i="93" s="1"/>
  <c r="F19" i="91"/>
  <c r="F22" i="91" s="1"/>
  <c r="F24" i="91" s="1"/>
  <c r="O19" i="90"/>
  <c r="O21" i="90" s="1"/>
  <c r="O28" i="90" s="1"/>
  <c r="O30" i="90" s="1"/>
  <c r="O31" i="90" s="1"/>
  <c r="O32" i="90" s="1"/>
  <c r="O33" i="90" s="1"/>
  <c r="O35" i="90" s="1"/>
  <c r="L19" i="94"/>
  <c r="L22" i="94" s="1"/>
  <c r="L24" i="94" s="1"/>
  <c r="D19" i="94"/>
  <c r="D22" i="94" s="1"/>
  <c r="D24" i="94" s="1"/>
  <c r="F19" i="94"/>
  <c r="F22" i="94" s="1"/>
  <c r="F24" i="94" s="1"/>
  <c r="J19" i="94"/>
  <c r="J22" i="94" s="1"/>
  <c r="J24" i="94" s="1"/>
  <c r="N19" i="94"/>
  <c r="N22" i="94" s="1"/>
  <c r="N24" i="94" s="1"/>
  <c r="H19" i="94"/>
  <c r="H22" i="94" s="1"/>
  <c r="H24" i="94" s="1"/>
  <c r="C19" i="94"/>
  <c r="G19" i="94"/>
  <c r="G22" i="94" s="1"/>
  <c r="G24" i="94" s="1"/>
  <c r="K19" i="94"/>
  <c r="K22" i="94" s="1"/>
  <c r="K24" i="94" s="1"/>
  <c r="E19" i="94"/>
  <c r="E22" i="94" s="1"/>
  <c r="E24" i="94" s="1"/>
  <c r="I19" i="94"/>
  <c r="I22" i="94" s="1"/>
  <c r="I24" i="94" s="1"/>
  <c r="M19" i="94"/>
  <c r="M22" i="94" s="1"/>
  <c r="M24" i="94" s="1"/>
  <c r="E19" i="93"/>
  <c r="E22" i="93" s="1"/>
  <c r="E24" i="93" s="1"/>
  <c r="I19" i="93"/>
  <c r="I22" i="93" s="1"/>
  <c r="I24" i="93" s="1"/>
  <c r="D19" i="93"/>
  <c r="D22" i="93" s="1"/>
  <c r="D24" i="93" s="1"/>
  <c r="H19" i="93"/>
  <c r="H22" i="93" s="1"/>
  <c r="H24" i="93" s="1"/>
  <c r="M19" i="93"/>
  <c r="M22" i="93" s="1"/>
  <c r="M24" i="93" s="1"/>
  <c r="N24" i="93"/>
  <c r="F24" i="93"/>
  <c r="L19" i="93"/>
  <c r="L22" i="93" s="1"/>
  <c r="L24" i="93" s="1"/>
  <c r="O15" i="93"/>
  <c r="O17" i="93" s="1"/>
  <c r="J19" i="93"/>
  <c r="J22" i="93" s="1"/>
  <c r="J24" i="93" s="1"/>
  <c r="C19" i="91"/>
  <c r="G19" i="91"/>
  <c r="G22" i="91" s="1"/>
  <c r="G24" i="91" s="1"/>
  <c r="K19" i="91"/>
  <c r="K22" i="91" s="1"/>
  <c r="K24" i="91" s="1"/>
  <c r="E19" i="91"/>
  <c r="E22" i="91" s="1"/>
  <c r="E24" i="91" s="1"/>
  <c r="I19" i="91"/>
  <c r="I22" i="91" s="1"/>
  <c r="I24" i="91" s="1"/>
  <c r="M19" i="91"/>
  <c r="M22" i="91" s="1"/>
  <c r="M24" i="91" s="1"/>
  <c r="O15" i="91"/>
  <c r="O17" i="91" s="1"/>
  <c r="H19" i="91"/>
  <c r="H22" i="91" s="1"/>
  <c r="H24" i="91" s="1"/>
  <c r="N24" i="92"/>
  <c r="J19" i="91"/>
  <c r="J22" i="91" s="1"/>
  <c r="J24" i="91" s="1"/>
  <c r="I19" i="92"/>
  <c r="I22" i="92" s="1"/>
  <c r="I24" i="92" s="1"/>
  <c r="F19" i="92"/>
  <c r="F22" i="92" s="1"/>
  <c r="F24" i="92" s="1"/>
  <c r="E19" i="92"/>
  <c r="E22" i="92" s="1"/>
  <c r="E24" i="92" s="1"/>
  <c r="M19" i="92"/>
  <c r="M22" i="92" s="1"/>
  <c r="M24" i="92" s="1"/>
  <c r="D19" i="91"/>
  <c r="D22" i="91" s="1"/>
  <c r="D24" i="91" s="1"/>
  <c r="L19" i="91"/>
  <c r="L22" i="91" s="1"/>
  <c r="L24" i="91" s="1"/>
  <c r="D19" i="92"/>
  <c r="D22" i="92" s="1"/>
  <c r="D24" i="92" s="1"/>
  <c r="H19" i="92"/>
  <c r="H22" i="92" s="1"/>
  <c r="H24" i="92" s="1"/>
  <c r="L19" i="92"/>
  <c r="L22" i="92" s="1"/>
  <c r="L24" i="92" s="1"/>
  <c r="J19" i="92"/>
  <c r="J22" i="92" s="1"/>
  <c r="J24" i="92" s="1"/>
  <c r="C19" i="92"/>
  <c r="G19" i="92"/>
  <c r="G22" i="92" s="1"/>
  <c r="G24" i="92" s="1"/>
  <c r="K19" i="92"/>
  <c r="K22" i="92" s="1"/>
  <c r="K24" i="92" s="1"/>
  <c r="O26" i="95" l="1"/>
  <c r="P31" i="90"/>
  <c r="P32" i="90"/>
  <c r="P35" i="90" s="1"/>
  <c r="P36" i="90" s="1"/>
  <c r="P41" i="90" s="1"/>
  <c r="Q31" i="90"/>
  <c r="Q32" i="90" s="1"/>
  <c r="Q35" i="90" s="1"/>
  <c r="Q36" i="90" s="1"/>
  <c r="Q41" i="90" s="1"/>
  <c r="Q37" i="94"/>
  <c r="Q37" i="92"/>
  <c r="Q37" i="91"/>
  <c r="Q37" i="93"/>
  <c r="P33" i="91"/>
  <c r="P37" i="91"/>
  <c r="P33" i="93"/>
  <c r="P37" i="93"/>
  <c r="P37" i="94"/>
  <c r="P33" i="94"/>
  <c r="P33" i="92"/>
  <c r="P32" i="92"/>
  <c r="P37" i="92" s="1"/>
  <c r="C22" i="94"/>
  <c r="C24" i="94" s="1"/>
  <c r="O19" i="94"/>
  <c r="O22" i="94" s="1"/>
  <c r="O24" i="94" s="1"/>
  <c r="O26" i="94" s="1"/>
  <c r="O28" i="94" s="1"/>
  <c r="O29" i="94" s="1"/>
  <c r="O31" i="94" s="1"/>
  <c r="K26" i="93"/>
  <c r="K28" i="93" s="1"/>
  <c r="K29" i="93" s="1"/>
  <c r="K31" i="93" s="1"/>
  <c r="G26" i="93"/>
  <c r="G28" i="93" s="1"/>
  <c r="G29" i="93" s="1"/>
  <c r="G31" i="93" s="1"/>
  <c r="C26" i="93"/>
  <c r="C28" i="93" s="1"/>
  <c r="C29" i="93" s="1"/>
  <c r="C31" i="93" s="1"/>
  <c r="C32" i="93" s="1"/>
  <c r="N26" i="93"/>
  <c r="N28" i="93" s="1"/>
  <c r="N29" i="93" s="1"/>
  <c r="N31" i="93" s="1"/>
  <c r="J26" i="93"/>
  <c r="J28" i="93" s="1"/>
  <c r="J29" i="93" s="1"/>
  <c r="J31" i="93" s="1"/>
  <c r="F26" i="93"/>
  <c r="F28" i="93" s="1"/>
  <c r="F29" i="93" s="1"/>
  <c r="F31" i="93" s="1"/>
  <c r="L26" i="93"/>
  <c r="L28" i="93" s="1"/>
  <c r="L29" i="93" s="1"/>
  <c r="L31" i="93" s="1"/>
  <c r="D26" i="93"/>
  <c r="D28" i="93" s="1"/>
  <c r="D29" i="93" s="1"/>
  <c r="D31" i="93" s="1"/>
  <c r="H26" i="93"/>
  <c r="H28" i="93" s="1"/>
  <c r="H29" i="93" s="1"/>
  <c r="H31" i="93" s="1"/>
  <c r="M26" i="93"/>
  <c r="M28" i="93" s="1"/>
  <c r="M29" i="93" s="1"/>
  <c r="M31" i="93" s="1"/>
  <c r="I26" i="93"/>
  <c r="I28" i="93" s="1"/>
  <c r="I29" i="93" s="1"/>
  <c r="I31" i="93" s="1"/>
  <c r="E26" i="93"/>
  <c r="E28" i="93" s="1"/>
  <c r="E29" i="93" s="1"/>
  <c r="E31" i="93" s="1"/>
  <c r="O19" i="93"/>
  <c r="O22" i="93" s="1"/>
  <c r="O24" i="93" s="1"/>
  <c r="O26" i="93" s="1"/>
  <c r="O28" i="93" s="1"/>
  <c r="O29" i="93" s="1"/>
  <c r="O31" i="93" s="1"/>
  <c r="C22" i="91"/>
  <c r="C24" i="91" s="1"/>
  <c r="O19" i="91"/>
  <c r="O22" i="91" s="1"/>
  <c r="O24" i="91" s="1"/>
  <c r="O26" i="91" s="1"/>
  <c r="O28" i="91" s="1"/>
  <c r="O29" i="91" s="1"/>
  <c r="O31" i="91" s="1"/>
  <c r="C22" i="92"/>
  <c r="C24" i="92" s="1"/>
  <c r="O19" i="92"/>
  <c r="O22" i="92" s="1"/>
  <c r="O24" i="92" s="1"/>
  <c r="O26" i="92" s="1"/>
  <c r="O28" i="92" s="1"/>
  <c r="O29" i="92" s="1"/>
  <c r="O31" i="92" s="1"/>
  <c r="O28" i="95" l="1"/>
  <c r="O30" i="95" s="1"/>
  <c r="O31" i="95" s="1"/>
  <c r="P37" i="90"/>
  <c r="V70" i="29" s="1"/>
  <c r="D32" i="93"/>
  <c r="E32" i="93" s="1"/>
  <c r="F32" i="93" s="1"/>
  <c r="P35" i="94"/>
  <c r="V52" i="29"/>
  <c r="P35" i="92"/>
  <c r="V24" i="29"/>
  <c r="P35" i="93"/>
  <c r="V48" i="29"/>
  <c r="P35" i="91"/>
  <c r="V69" i="29"/>
  <c r="C41" i="90"/>
  <c r="N70" i="29"/>
  <c r="C37" i="93"/>
  <c r="N48" i="29"/>
  <c r="K26" i="94"/>
  <c r="K28" i="94" s="1"/>
  <c r="K29" i="94" s="1"/>
  <c r="K31" i="94" s="1"/>
  <c r="G26" i="94"/>
  <c r="G28" i="94" s="1"/>
  <c r="G29" i="94" s="1"/>
  <c r="G31" i="94" s="1"/>
  <c r="C26" i="94"/>
  <c r="C28" i="94" s="1"/>
  <c r="C29" i="94" s="1"/>
  <c r="C31" i="94" s="1"/>
  <c r="C32" i="94" s="1"/>
  <c r="J26" i="94"/>
  <c r="J28" i="94" s="1"/>
  <c r="J29" i="94" s="1"/>
  <c r="J31" i="94" s="1"/>
  <c r="F26" i="94"/>
  <c r="F28" i="94" s="1"/>
  <c r="F29" i="94" s="1"/>
  <c r="F31" i="94" s="1"/>
  <c r="N26" i="94"/>
  <c r="N28" i="94" s="1"/>
  <c r="N29" i="94" s="1"/>
  <c r="N31" i="94" s="1"/>
  <c r="M26" i="94"/>
  <c r="M28" i="94" s="1"/>
  <c r="M29" i="94" s="1"/>
  <c r="M31" i="94" s="1"/>
  <c r="I26" i="94"/>
  <c r="I28" i="94" s="1"/>
  <c r="I29" i="94" s="1"/>
  <c r="I31" i="94" s="1"/>
  <c r="E26" i="94"/>
  <c r="E28" i="94" s="1"/>
  <c r="E29" i="94" s="1"/>
  <c r="E31" i="94" s="1"/>
  <c r="L26" i="94"/>
  <c r="L28" i="94" s="1"/>
  <c r="L29" i="94" s="1"/>
  <c r="L31" i="94" s="1"/>
  <c r="H26" i="94"/>
  <c r="H28" i="94" s="1"/>
  <c r="H29" i="94" s="1"/>
  <c r="H31" i="94" s="1"/>
  <c r="D26" i="94"/>
  <c r="D28" i="94" s="1"/>
  <c r="D29" i="94" s="1"/>
  <c r="D31" i="94" s="1"/>
  <c r="K26" i="92"/>
  <c r="K28" i="92" s="1"/>
  <c r="K29" i="92" s="1"/>
  <c r="K31" i="92" s="1"/>
  <c r="G26" i="92"/>
  <c r="G28" i="92" s="1"/>
  <c r="G29" i="92" s="1"/>
  <c r="G31" i="92" s="1"/>
  <c r="C26" i="92"/>
  <c r="C28" i="92" s="1"/>
  <c r="C29" i="92" s="1"/>
  <c r="C31" i="92" s="1"/>
  <c r="C32" i="92" s="1"/>
  <c r="N26" i="92"/>
  <c r="N28" i="92" s="1"/>
  <c r="N29" i="92" s="1"/>
  <c r="N31" i="92" s="1"/>
  <c r="J26" i="92"/>
  <c r="J28" i="92" s="1"/>
  <c r="J29" i="92" s="1"/>
  <c r="J31" i="92" s="1"/>
  <c r="F26" i="92"/>
  <c r="F28" i="92" s="1"/>
  <c r="F29" i="92" s="1"/>
  <c r="F31" i="92" s="1"/>
  <c r="M26" i="92"/>
  <c r="M28" i="92" s="1"/>
  <c r="M29" i="92" s="1"/>
  <c r="M31" i="92" s="1"/>
  <c r="I26" i="92"/>
  <c r="I28" i="92" s="1"/>
  <c r="I29" i="92" s="1"/>
  <c r="I31" i="92" s="1"/>
  <c r="E26" i="92"/>
  <c r="E28" i="92" s="1"/>
  <c r="E29" i="92" s="1"/>
  <c r="E31" i="92" s="1"/>
  <c r="L26" i="92"/>
  <c r="L28" i="92" s="1"/>
  <c r="L29" i="92" s="1"/>
  <c r="L31" i="92" s="1"/>
  <c r="H26" i="92"/>
  <c r="H28" i="92" s="1"/>
  <c r="H29" i="92" s="1"/>
  <c r="H31" i="92" s="1"/>
  <c r="D26" i="92"/>
  <c r="D28" i="92" s="1"/>
  <c r="D29" i="92" s="1"/>
  <c r="D31" i="92" s="1"/>
  <c r="M26" i="91"/>
  <c r="M28" i="91" s="1"/>
  <c r="M29" i="91" s="1"/>
  <c r="M31" i="91" s="1"/>
  <c r="I26" i="91"/>
  <c r="I28" i="91" s="1"/>
  <c r="I29" i="91" s="1"/>
  <c r="I31" i="91" s="1"/>
  <c r="E26" i="91"/>
  <c r="E28" i="91" s="1"/>
  <c r="E29" i="91" s="1"/>
  <c r="E31" i="91" s="1"/>
  <c r="K26" i="91"/>
  <c r="K28" i="91" s="1"/>
  <c r="K29" i="91" s="1"/>
  <c r="K31" i="91" s="1"/>
  <c r="G26" i="91"/>
  <c r="G28" i="91" s="1"/>
  <c r="G29" i="91" s="1"/>
  <c r="G31" i="91" s="1"/>
  <c r="C26" i="91"/>
  <c r="C28" i="91" s="1"/>
  <c r="C29" i="91" s="1"/>
  <c r="C31" i="91" s="1"/>
  <c r="C32" i="91" s="1"/>
  <c r="N26" i="91"/>
  <c r="N28" i="91" s="1"/>
  <c r="N29" i="91" s="1"/>
  <c r="N31" i="91" s="1"/>
  <c r="F26" i="91"/>
  <c r="F28" i="91" s="1"/>
  <c r="F29" i="91" s="1"/>
  <c r="F31" i="91" s="1"/>
  <c r="L26" i="91"/>
  <c r="L28" i="91" s="1"/>
  <c r="L29" i="91" s="1"/>
  <c r="L31" i="91" s="1"/>
  <c r="D26" i="91"/>
  <c r="D28" i="91" s="1"/>
  <c r="D29" i="91" s="1"/>
  <c r="D31" i="91" s="1"/>
  <c r="D32" i="91" s="1"/>
  <c r="H26" i="91"/>
  <c r="H28" i="91" s="1"/>
  <c r="H29" i="91" s="1"/>
  <c r="H31" i="91" s="1"/>
  <c r="J26" i="91"/>
  <c r="J28" i="91" s="1"/>
  <c r="J29" i="91" s="1"/>
  <c r="J31" i="91" s="1"/>
  <c r="P31" i="95" l="1"/>
  <c r="O32" i="95"/>
  <c r="O33" i="95" s="1"/>
  <c r="O35" i="95" s="1"/>
  <c r="P39" i="90"/>
  <c r="G32" i="93"/>
  <c r="X48" i="29" s="1"/>
  <c r="P70" i="29"/>
  <c r="D41" i="90"/>
  <c r="D32" i="92"/>
  <c r="E32" i="92" s="1"/>
  <c r="F32" i="92" s="1"/>
  <c r="E32" i="91"/>
  <c r="D32" i="94"/>
  <c r="P52" i="29" s="1"/>
  <c r="F32" i="91"/>
  <c r="D37" i="91"/>
  <c r="P69" i="29"/>
  <c r="C37" i="91"/>
  <c r="N69" i="29"/>
  <c r="D37" i="93"/>
  <c r="P48" i="29"/>
  <c r="R48" i="29"/>
  <c r="C37" i="94"/>
  <c r="N52" i="29"/>
  <c r="C41" i="95"/>
  <c r="N17" i="29"/>
  <c r="C37" i="92"/>
  <c r="N24" i="29"/>
  <c r="P32" i="95" l="1"/>
  <c r="P33" i="95" s="1"/>
  <c r="P35" i="95" s="1"/>
  <c r="P36" i="95" s="1"/>
  <c r="P41" i="95" s="1"/>
  <c r="Q31" i="95"/>
  <c r="Q32" i="95" s="1"/>
  <c r="Q33" i="95" s="1"/>
  <c r="Q35" i="95" s="1"/>
  <c r="Q36" i="95" s="1"/>
  <c r="Q41" i="95" s="1"/>
  <c r="R70" i="29"/>
  <c r="E41" i="90"/>
  <c r="H32" i="93"/>
  <c r="G32" i="92"/>
  <c r="X24" i="29" s="1"/>
  <c r="G32" i="91"/>
  <c r="X69" i="29" s="1"/>
  <c r="E32" i="94"/>
  <c r="X17" i="29"/>
  <c r="X70" i="29"/>
  <c r="F41" i="90"/>
  <c r="D37" i="94"/>
  <c r="D41" i="95"/>
  <c r="P17" i="29"/>
  <c r="H32" i="92"/>
  <c r="F32" i="94"/>
  <c r="T52" i="29" s="1"/>
  <c r="H32" i="91"/>
  <c r="F41" i="95"/>
  <c r="E37" i="93"/>
  <c r="F37" i="93"/>
  <c r="T48" i="29"/>
  <c r="G37" i="93"/>
  <c r="E37" i="94"/>
  <c r="R52" i="29"/>
  <c r="D37" i="92"/>
  <c r="P24" i="29"/>
  <c r="E37" i="91"/>
  <c r="R69" i="29"/>
  <c r="T17" i="29"/>
  <c r="E41" i="95"/>
  <c r="R17" i="29"/>
  <c r="T70" i="29"/>
  <c r="P37" i="95" l="1"/>
  <c r="I32" i="93"/>
  <c r="J32" i="93" s="1"/>
  <c r="K32" i="93" s="1"/>
  <c r="L32" i="93" s="1"/>
  <c r="M32" i="93" s="1"/>
  <c r="N32" i="93" s="1"/>
  <c r="O32" i="93" s="1"/>
  <c r="G32" i="94"/>
  <c r="X52" i="29" s="1"/>
  <c r="F37" i="94"/>
  <c r="I32" i="91"/>
  <c r="J32" i="91" s="1"/>
  <c r="K32" i="91" s="1"/>
  <c r="I32" i="92"/>
  <c r="J32" i="92" s="1"/>
  <c r="K32" i="92" s="1"/>
  <c r="L32" i="92" s="1"/>
  <c r="M32" i="92" s="1"/>
  <c r="N32" i="92" s="1"/>
  <c r="O32" i="92" s="1"/>
  <c r="I37" i="93"/>
  <c r="AB48" i="29"/>
  <c r="G41" i="90"/>
  <c r="E37" i="92"/>
  <c r="R24" i="29"/>
  <c r="F37" i="91"/>
  <c r="T69" i="29"/>
  <c r="G41" i="95"/>
  <c r="V17" i="29" l="1"/>
  <c r="P39" i="95"/>
  <c r="G37" i="94"/>
  <c r="L32" i="91"/>
  <c r="M32" i="91" s="1"/>
  <c r="N32" i="91" s="1"/>
  <c r="O32" i="91" s="1"/>
  <c r="H32" i="94"/>
  <c r="H37" i="94" s="1"/>
  <c r="Z48" i="29"/>
  <c r="H37" i="93"/>
  <c r="H41" i="90"/>
  <c r="Z70" i="29"/>
  <c r="H41" i="95"/>
  <c r="Z17" i="29"/>
  <c r="J37" i="93"/>
  <c r="T24" i="29"/>
  <c r="F37" i="92"/>
  <c r="AB69" i="29"/>
  <c r="G37" i="91"/>
  <c r="Z52" i="29" l="1"/>
  <c r="I32" i="94"/>
  <c r="AD48" i="29"/>
  <c r="I41" i="90"/>
  <c r="AB70" i="29"/>
  <c r="H37" i="91"/>
  <c r="Z69" i="29"/>
  <c r="H37" i="92"/>
  <c r="Z24" i="29"/>
  <c r="AB17" i="29"/>
  <c r="I41" i="95"/>
  <c r="G37" i="92"/>
  <c r="I37" i="91"/>
  <c r="AD69" i="29"/>
  <c r="AD24" i="29"/>
  <c r="AB52" i="29" l="1"/>
  <c r="J32" i="94"/>
  <c r="I37" i="94"/>
  <c r="AD70" i="29"/>
  <c r="J41" i="95"/>
  <c r="AD17" i="29"/>
  <c r="K37" i="93"/>
  <c r="AF48" i="29"/>
  <c r="I37" i="92"/>
  <c r="AB24" i="29"/>
  <c r="AF17" i="29"/>
  <c r="J41" i="90"/>
  <c r="K41" i="90"/>
  <c r="J37" i="91"/>
  <c r="AF69" i="29"/>
  <c r="J37" i="92"/>
  <c r="AF24" i="29"/>
  <c r="K32" i="94" l="1"/>
  <c r="AD52" i="29"/>
  <c r="J37" i="94"/>
  <c r="L37" i="93"/>
  <c r="AH48" i="29"/>
  <c r="AF70" i="29"/>
  <c r="K41" i="95"/>
  <c r="K37" i="91"/>
  <c r="K37" i="92"/>
  <c r="AH24" i="29"/>
  <c r="L32" i="94" l="1"/>
  <c r="AF52" i="29"/>
  <c r="K37" i="94"/>
  <c r="L37" i="91"/>
  <c r="AH69" i="29"/>
  <c r="L41" i="90"/>
  <c r="AH70" i="29"/>
  <c r="L41" i="95"/>
  <c r="AH17" i="29"/>
  <c r="M37" i="93"/>
  <c r="AJ48" i="29"/>
  <c r="L37" i="92"/>
  <c r="AJ24" i="29"/>
  <c r="M32" i="94" l="1"/>
  <c r="L37" i="94"/>
  <c r="AH52" i="29"/>
  <c r="M37" i="91"/>
  <c r="AJ69" i="29"/>
  <c r="N37" i="93"/>
  <c r="AL48" i="29"/>
  <c r="O37" i="93"/>
  <c r="M41" i="95"/>
  <c r="AJ17" i="29"/>
  <c r="AJ70" i="29"/>
  <c r="O41" i="90"/>
  <c r="M41" i="90"/>
  <c r="M37" i="92"/>
  <c r="AL24" i="29"/>
  <c r="N32" i="94" l="1"/>
  <c r="AJ52" i="29"/>
  <c r="M37" i="94"/>
  <c r="N41" i="95"/>
  <c r="AL17" i="29"/>
  <c r="N41" i="90"/>
  <c r="AL70" i="29"/>
  <c r="N37" i="91"/>
  <c r="AL69" i="29"/>
  <c r="O41" i="95"/>
  <c r="O37" i="91"/>
  <c r="N37" i="92"/>
  <c r="O37" i="92"/>
  <c r="O32" i="94" l="1"/>
  <c r="O37" i="94" s="1"/>
  <c r="AL52" i="29"/>
  <c r="N37" i="94"/>
  <c r="P31" i="89"/>
  <c r="AI58" i="29"/>
  <c r="AI108" i="29" s="1"/>
  <c r="AG58" i="29"/>
  <c r="AE58" i="29"/>
  <c r="AE108" i="29" s="1"/>
  <c r="AC58" i="29"/>
  <c r="AA58" i="29"/>
  <c r="Y58" i="29"/>
  <c r="W58" i="29"/>
  <c r="S58" i="29"/>
  <c r="Q58" i="29"/>
  <c r="O58" i="29"/>
  <c r="M58" i="29"/>
  <c r="D17" i="88"/>
  <c r="O6" i="29" s="1"/>
  <c r="D27" i="88"/>
  <c r="E27" i="88" s="1"/>
  <c r="F27" i="88" s="1"/>
  <c r="G27" i="88" s="1"/>
  <c r="H27" i="88" s="1"/>
  <c r="I27" i="88" s="1"/>
  <c r="J27" i="88" s="1"/>
  <c r="K27" i="88" s="1"/>
  <c r="L27" i="88" s="1"/>
  <c r="M27" i="88" s="1"/>
  <c r="N27" i="88" s="1"/>
  <c r="O27" i="88" s="1"/>
  <c r="P27" i="88" s="1"/>
  <c r="O21" i="88"/>
  <c r="P17" i="88"/>
  <c r="P19" i="88" s="1"/>
  <c r="N17" i="88"/>
  <c r="AK6" i="29" s="1"/>
  <c r="M17" i="88"/>
  <c r="AI6" i="29" s="1"/>
  <c r="L17" i="88"/>
  <c r="K17" i="88"/>
  <c r="AE6" i="29" s="1"/>
  <c r="J17" i="88"/>
  <c r="AC6" i="29" s="1"/>
  <c r="I17" i="88"/>
  <c r="AA6" i="29" s="1"/>
  <c r="H17" i="88"/>
  <c r="Y6" i="29" s="1"/>
  <c r="G17" i="88"/>
  <c r="W6" i="29" s="1"/>
  <c r="F17" i="88"/>
  <c r="S6" i="29" s="1"/>
  <c r="E17" i="88"/>
  <c r="Q6" i="29" s="1"/>
  <c r="O17" i="88"/>
  <c r="AI43" i="29"/>
  <c r="AG43" i="29"/>
  <c r="AC43" i="29"/>
  <c r="AA43" i="29"/>
  <c r="Y43" i="29"/>
  <c r="W43" i="29"/>
  <c r="S43" i="29"/>
  <c r="Q43" i="29"/>
  <c r="O43" i="29"/>
  <c r="M43" i="29"/>
  <c r="O17" i="87"/>
  <c r="O15" i="87"/>
  <c r="O13" i="87"/>
  <c r="AK8" i="29"/>
  <c r="AI8" i="29"/>
  <c r="AE8" i="29"/>
  <c r="AC8" i="29"/>
  <c r="AA8" i="29"/>
  <c r="Y8" i="29"/>
  <c r="W8" i="29"/>
  <c r="S8" i="29"/>
  <c r="Q8" i="29"/>
  <c r="O8" i="29"/>
  <c r="M8" i="29"/>
  <c r="O17" i="86"/>
  <c r="O15" i="86"/>
  <c r="O13" i="86"/>
  <c r="AK5" i="29"/>
  <c r="AI5" i="29"/>
  <c r="AE5" i="29"/>
  <c r="Y5" i="29"/>
  <c r="W5" i="29"/>
  <c r="S5" i="29"/>
  <c r="Q5" i="29"/>
  <c r="O5" i="29"/>
  <c r="AI7" i="29"/>
  <c r="AE7" i="29"/>
  <c r="AA7" i="29"/>
  <c r="Y7" i="29"/>
  <c r="W7" i="29"/>
  <c r="S7" i="29"/>
  <c r="Q7" i="29"/>
  <c r="O7" i="29"/>
  <c r="M7" i="29"/>
  <c r="AA5" i="29" l="1"/>
  <c r="AC5" i="29"/>
  <c r="AE43" i="29"/>
  <c r="AC7" i="29"/>
  <c r="AK7" i="29"/>
  <c r="AK43" i="29"/>
  <c r="AK58" i="29"/>
  <c r="Q31" i="89"/>
  <c r="Q32" i="89" s="1"/>
  <c r="Q33" i="89" s="1"/>
  <c r="Q35" i="89" s="1"/>
  <c r="Q36" i="89" s="1"/>
  <c r="P32" i="89"/>
  <c r="P35" i="89" s="1"/>
  <c r="P36" i="89" s="1"/>
  <c r="O19" i="86"/>
  <c r="O21" i="86" s="1"/>
  <c r="O28" i="86" s="1"/>
  <c r="O30" i="86" s="1"/>
  <c r="O19" i="87"/>
  <c r="O21" i="87" s="1"/>
  <c r="O28" i="87" s="1"/>
  <c r="O30" i="87" s="1"/>
  <c r="O31" i="87" s="1"/>
  <c r="C17" i="88"/>
  <c r="M6" i="29" s="1"/>
  <c r="M5" i="29"/>
  <c r="F19" i="88"/>
  <c r="F22" i="88" s="1"/>
  <c r="F24" i="88" s="1"/>
  <c r="J19" i="88"/>
  <c r="J22" i="88" s="1"/>
  <c r="J24" i="88" s="1"/>
  <c r="N19" i="88"/>
  <c r="N22" i="88" s="1"/>
  <c r="N24" i="88" s="1"/>
  <c r="G19" i="88"/>
  <c r="G22" i="88" s="1"/>
  <c r="G24" i="88" s="1"/>
  <c r="K19" i="88"/>
  <c r="K22" i="88" s="1"/>
  <c r="K24" i="88" s="1"/>
  <c r="P22" i="88"/>
  <c r="P24" i="88" s="1"/>
  <c r="P26" i="88" s="1"/>
  <c r="Q37" i="88"/>
  <c r="D19" i="88"/>
  <c r="D22" i="88" s="1"/>
  <c r="D24" i="88" s="1"/>
  <c r="H19" i="88"/>
  <c r="H22" i="88" s="1"/>
  <c r="H24" i="88" s="1"/>
  <c r="L19" i="88"/>
  <c r="L22" i="88" s="1"/>
  <c r="L24" i="88" s="1"/>
  <c r="E19" i="88"/>
  <c r="E22" i="88" s="1"/>
  <c r="E24" i="88" s="1"/>
  <c r="I19" i="88"/>
  <c r="I22" i="88" s="1"/>
  <c r="I24" i="88" s="1"/>
  <c r="M19" i="88"/>
  <c r="M22" i="88" s="1"/>
  <c r="M24" i="88" s="1"/>
  <c r="M110" i="29"/>
  <c r="B3" i="47"/>
  <c r="AK108" i="29" l="1"/>
  <c r="O32" i="87"/>
  <c r="O33" i="87" s="1"/>
  <c r="O35" i="87" s="1"/>
  <c r="P31" i="87"/>
  <c r="O9" i="47"/>
  <c r="K9" i="47"/>
  <c r="G9" i="47"/>
  <c r="C9" i="47"/>
  <c r="N9" i="47"/>
  <c r="J9" i="47"/>
  <c r="F9" i="47"/>
  <c r="M9" i="47"/>
  <c r="I9" i="47"/>
  <c r="E9" i="47"/>
  <c r="L9" i="47"/>
  <c r="H9" i="47"/>
  <c r="D9" i="47"/>
  <c r="O31" i="86"/>
  <c r="O32" i="86" s="1"/>
  <c r="O33" i="86" s="1"/>
  <c r="O35" i="86" s="1"/>
  <c r="O9" i="3"/>
  <c r="K9" i="3"/>
  <c r="K31" i="3" s="1"/>
  <c r="K32" i="3" s="1"/>
  <c r="K33" i="3" s="1"/>
  <c r="K35" i="3" s="1"/>
  <c r="G9" i="3"/>
  <c r="G31" i="3" s="1"/>
  <c r="G32" i="3" s="1"/>
  <c r="G33" i="3" s="1"/>
  <c r="G35" i="3" s="1"/>
  <c r="C9" i="3"/>
  <c r="C31" i="3" s="1"/>
  <c r="C32" i="3" s="1"/>
  <c r="C33" i="3" s="1"/>
  <c r="C35" i="3" s="1"/>
  <c r="J9" i="3"/>
  <c r="J31" i="3" s="1"/>
  <c r="J32" i="3" s="1"/>
  <c r="J33" i="3" s="1"/>
  <c r="J35" i="3" s="1"/>
  <c r="F9" i="3"/>
  <c r="F31" i="3" s="1"/>
  <c r="F32" i="3" s="1"/>
  <c r="F33" i="3" s="1"/>
  <c r="F35" i="3" s="1"/>
  <c r="F36" i="3" s="1"/>
  <c r="M9" i="3"/>
  <c r="M31" i="3" s="1"/>
  <c r="M32" i="3" s="1"/>
  <c r="M33" i="3" s="1"/>
  <c r="M35" i="3" s="1"/>
  <c r="I9" i="3"/>
  <c r="I31" i="3" s="1"/>
  <c r="I32" i="3" s="1"/>
  <c r="I33" i="3" s="1"/>
  <c r="I35" i="3" s="1"/>
  <c r="E9" i="3"/>
  <c r="E31" i="3" s="1"/>
  <c r="E32" i="3" s="1"/>
  <c r="E33" i="3" s="1"/>
  <c r="E35" i="3" s="1"/>
  <c r="H9" i="3"/>
  <c r="H31" i="3" s="1"/>
  <c r="H32" i="3" s="1"/>
  <c r="H33" i="3" s="1"/>
  <c r="H35" i="3" s="1"/>
  <c r="D9" i="3"/>
  <c r="D31" i="3" s="1"/>
  <c r="D32" i="3" s="1"/>
  <c r="D33" i="3" s="1"/>
  <c r="D35" i="3" s="1"/>
  <c r="N9" i="3"/>
  <c r="N31" i="3" s="1"/>
  <c r="N32" i="3" s="1"/>
  <c r="N33" i="3" s="1"/>
  <c r="N35" i="3" s="1"/>
  <c r="L9" i="3"/>
  <c r="L31" i="3" s="1"/>
  <c r="L32" i="3" s="1"/>
  <c r="L33" i="3" s="1"/>
  <c r="L35" i="3" s="1"/>
  <c r="Q41" i="89"/>
  <c r="P41" i="89"/>
  <c r="P37" i="89"/>
  <c r="V43" i="29"/>
  <c r="C19" i="88"/>
  <c r="O19" i="88" s="1"/>
  <c r="O22" i="88" s="1"/>
  <c r="O24" i="88" s="1"/>
  <c r="O26" i="88" s="1"/>
  <c r="O28" i="88" s="1"/>
  <c r="O29" i="88" s="1"/>
  <c r="O31" i="88" s="1"/>
  <c r="P41" i="84"/>
  <c r="P37" i="84"/>
  <c r="AI14" i="29"/>
  <c r="AG14" i="29"/>
  <c r="AC14" i="29"/>
  <c r="AA14" i="29"/>
  <c r="Y14" i="29"/>
  <c r="W14" i="29"/>
  <c r="S14" i="29"/>
  <c r="Q14" i="29"/>
  <c r="O14" i="29"/>
  <c r="M14" i="29"/>
  <c r="O17" i="83"/>
  <c r="O15" i="83"/>
  <c r="O13" i="83"/>
  <c r="AI22" i="29"/>
  <c r="AG22" i="29"/>
  <c r="AE22" i="29"/>
  <c r="AA22" i="29"/>
  <c r="Y22" i="29"/>
  <c r="W22" i="29"/>
  <c r="S22" i="29"/>
  <c r="Q22" i="29"/>
  <c r="O22" i="29"/>
  <c r="M22" i="29"/>
  <c r="O17" i="81"/>
  <c r="O15" i="81"/>
  <c r="O13" i="81"/>
  <c r="D27" i="82"/>
  <c r="E27" i="82" s="1"/>
  <c r="F27" i="82" s="1"/>
  <c r="G27" i="82" s="1"/>
  <c r="H27" i="82" s="1"/>
  <c r="I27" i="82" s="1"/>
  <c r="J27" i="82" s="1"/>
  <c r="K27" i="82" s="1"/>
  <c r="L27" i="82" s="1"/>
  <c r="M27" i="82" s="1"/>
  <c r="N27" i="82" s="1"/>
  <c r="O27" i="82" s="1"/>
  <c r="P27" i="82" s="1"/>
  <c r="O21" i="82"/>
  <c r="N17" i="82"/>
  <c r="AK45" i="29" s="1"/>
  <c r="M17" i="82"/>
  <c r="AI45" i="29" s="1"/>
  <c r="L17" i="82"/>
  <c r="AG45" i="29" s="1"/>
  <c r="K17" i="82"/>
  <c r="AE45" i="29" s="1"/>
  <c r="J17" i="82"/>
  <c r="AC45" i="29" s="1"/>
  <c r="I17" i="82"/>
  <c r="AA45" i="29" s="1"/>
  <c r="H17" i="82"/>
  <c r="Y45" i="29" s="1"/>
  <c r="G17" i="82"/>
  <c r="W45" i="29" s="1"/>
  <c r="F17" i="82"/>
  <c r="S45" i="29" s="1"/>
  <c r="E17" i="82"/>
  <c r="Q45" i="29" s="1"/>
  <c r="D17" i="82"/>
  <c r="O45" i="29" s="1"/>
  <c r="C17" i="82"/>
  <c r="M45" i="29" s="1"/>
  <c r="O13" i="82"/>
  <c r="O11" i="82"/>
  <c r="O9" i="82"/>
  <c r="D27" i="80"/>
  <c r="E27" i="80" s="1"/>
  <c r="F27" i="80" s="1"/>
  <c r="G27" i="80" s="1"/>
  <c r="H27" i="80" s="1"/>
  <c r="I27" i="80" s="1"/>
  <c r="J27" i="80" s="1"/>
  <c r="K27" i="80" s="1"/>
  <c r="L27" i="80" s="1"/>
  <c r="M27" i="80" s="1"/>
  <c r="N27" i="80" s="1"/>
  <c r="O27" i="80" s="1"/>
  <c r="P27" i="80" s="1"/>
  <c r="O21" i="80"/>
  <c r="N17" i="80"/>
  <c r="AK42" i="29" s="1"/>
  <c r="M17" i="80"/>
  <c r="AI42" i="29" s="1"/>
  <c r="L17" i="80"/>
  <c r="AG42" i="29" s="1"/>
  <c r="K17" i="80"/>
  <c r="AE42" i="29" s="1"/>
  <c r="J17" i="80"/>
  <c r="AC42" i="29" s="1"/>
  <c r="I17" i="80"/>
  <c r="AA42" i="29" s="1"/>
  <c r="H17" i="80"/>
  <c r="Y42" i="29" s="1"/>
  <c r="G17" i="80"/>
  <c r="W42" i="29" s="1"/>
  <c r="F17" i="80"/>
  <c r="S42" i="29" s="1"/>
  <c r="E17" i="80"/>
  <c r="Q42" i="29" s="1"/>
  <c r="D17" i="80"/>
  <c r="O42" i="29" s="1"/>
  <c r="C17" i="80"/>
  <c r="M42" i="29" s="1"/>
  <c r="O13" i="80"/>
  <c r="O11" i="80"/>
  <c r="O9" i="80"/>
  <c r="AK47" i="29"/>
  <c r="AI47" i="29"/>
  <c r="AG47" i="29"/>
  <c r="AE47" i="29"/>
  <c r="AC47" i="29"/>
  <c r="AA47" i="29"/>
  <c r="Y47" i="29"/>
  <c r="W47" i="29"/>
  <c r="S47" i="29"/>
  <c r="Q47" i="29"/>
  <c r="O47" i="29"/>
  <c r="M47" i="29"/>
  <c r="O17" i="79"/>
  <c r="O15" i="79"/>
  <c r="O13" i="79"/>
  <c r="D27" i="78"/>
  <c r="E27" i="78" s="1"/>
  <c r="F27" i="78" s="1"/>
  <c r="G27" i="78" s="1"/>
  <c r="H27" i="78" s="1"/>
  <c r="I27" i="78" s="1"/>
  <c r="J27" i="78" s="1"/>
  <c r="K27" i="78" s="1"/>
  <c r="L27" i="78" s="1"/>
  <c r="M27" i="78" s="1"/>
  <c r="N27" i="78" s="1"/>
  <c r="O27" i="78" s="1"/>
  <c r="P27" i="78" s="1"/>
  <c r="O21" i="78"/>
  <c r="N17" i="78"/>
  <c r="M17" i="78"/>
  <c r="AI62" i="29" s="1"/>
  <c r="L17" i="78"/>
  <c r="AG62" i="29" s="1"/>
  <c r="K17" i="78"/>
  <c r="AE62" i="29" s="1"/>
  <c r="J17" i="78"/>
  <c r="I17" i="78"/>
  <c r="AA62" i="29" s="1"/>
  <c r="H17" i="78"/>
  <c r="Y62" i="29" s="1"/>
  <c r="G17" i="78"/>
  <c r="W62" i="29" s="1"/>
  <c r="F17" i="78"/>
  <c r="S62" i="29" s="1"/>
  <c r="E17" i="78"/>
  <c r="Q62" i="29" s="1"/>
  <c r="D17" i="78"/>
  <c r="O62" i="29" s="1"/>
  <c r="C17" i="78"/>
  <c r="M62" i="29" s="1"/>
  <c r="O13" i="78"/>
  <c r="O11" i="78"/>
  <c r="O9" i="78"/>
  <c r="D27" i="77"/>
  <c r="E27" i="77" s="1"/>
  <c r="F27" i="77" s="1"/>
  <c r="G27" i="77" s="1"/>
  <c r="H27" i="77" s="1"/>
  <c r="I27" i="77" s="1"/>
  <c r="J27" i="77" s="1"/>
  <c r="K27" i="77" s="1"/>
  <c r="L27" i="77" s="1"/>
  <c r="M27" i="77" s="1"/>
  <c r="N27" i="77" s="1"/>
  <c r="O27" i="77" s="1"/>
  <c r="P27" i="77" s="1"/>
  <c r="O21" i="77"/>
  <c r="N17" i="77"/>
  <c r="AK11" i="29" s="1"/>
  <c r="M17" i="77"/>
  <c r="AI11" i="29" s="1"/>
  <c r="L17" i="77"/>
  <c r="AG11" i="29" s="1"/>
  <c r="K17" i="77"/>
  <c r="AE11" i="29" s="1"/>
  <c r="J17" i="77"/>
  <c r="AC11" i="29" s="1"/>
  <c r="I17" i="77"/>
  <c r="AA11" i="29" s="1"/>
  <c r="H17" i="77"/>
  <c r="Y11" i="29" s="1"/>
  <c r="G17" i="77"/>
  <c r="W11" i="29" s="1"/>
  <c r="F17" i="77"/>
  <c r="S11" i="29" s="1"/>
  <c r="E17" i="77"/>
  <c r="Q11" i="29" s="1"/>
  <c r="D17" i="77"/>
  <c r="O11" i="29" s="1"/>
  <c r="C17" i="77"/>
  <c r="M11" i="29" s="1"/>
  <c r="O13" i="77"/>
  <c r="O11" i="77"/>
  <c r="O9" i="77"/>
  <c r="AI59" i="29"/>
  <c r="AG59" i="29"/>
  <c r="AA59" i="29"/>
  <c r="Y59" i="29"/>
  <c r="W59" i="29"/>
  <c r="S59" i="29"/>
  <c r="Q59" i="29"/>
  <c r="O59" i="29"/>
  <c r="M59" i="29"/>
  <c r="O17" i="76"/>
  <c r="O15" i="76"/>
  <c r="O13" i="76"/>
  <c r="D27" i="75"/>
  <c r="E27" i="75" s="1"/>
  <c r="F27" i="75" s="1"/>
  <c r="G27" i="75" s="1"/>
  <c r="H27" i="75" s="1"/>
  <c r="I27" i="75" s="1"/>
  <c r="J27" i="75" s="1"/>
  <c r="K27" i="75" s="1"/>
  <c r="L27" i="75" s="1"/>
  <c r="M27" i="75" s="1"/>
  <c r="N27" i="75" s="1"/>
  <c r="O27" i="75" s="1"/>
  <c r="P27" i="75" s="1"/>
  <c r="O21" i="75"/>
  <c r="N17" i="75"/>
  <c r="AK60" i="29" s="1"/>
  <c r="M17" i="75"/>
  <c r="AI60" i="29" s="1"/>
  <c r="L17" i="75"/>
  <c r="AG60" i="29" s="1"/>
  <c r="K17" i="75"/>
  <c r="AE60" i="29" s="1"/>
  <c r="J17" i="75"/>
  <c r="AC60" i="29" s="1"/>
  <c r="I17" i="75"/>
  <c r="AA60" i="29" s="1"/>
  <c r="H17" i="75"/>
  <c r="Y60" i="29" s="1"/>
  <c r="G17" i="75"/>
  <c r="W60" i="29" s="1"/>
  <c r="F17" i="75"/>
  <c r="S60" i="29" s="1"/>
  <c r="E17" i="75"/>
  <c r="Q60" i="29" s="1"/>
  <c r="D17" i="75"/>
  <c r="O60" i="29" s="1"/>
  <c r="C17" i="75"/>
  <c r="M60" i="29" s="1"/>
  <c r="O13" i="75"/>
  <c r="O11" i="75"/>
  <c r="O9" i="75"/>
  <c r="D27" i="74"/>
  <c r="E27" i="74" s="1"/>
  <c r="F27" i="74" s="1"/>
  <c r="G27" i="74" s="1"/>
  <c r="H27" i="74" s="1"/>
  <c r="I27" i="74" s="1"/>
  <c r="J27" i="74" s="1"/>
  <c r="K27" i="74" s="1"/>
  <c r="L27" i="74" s="1"/>
  <c r="M27" i="74" s="1"/>
  <c r="N27" i="74" s="1"/>
  <c r="O27" i="74" s="1"/>
  <c r="P27" i="74" s="1"/>
  <c r="O21" i="74"/>
  <c r="N17" i="74"/>
  <c r="AK26" i="29" s="1"/>
  <c r="M17" i="74"/>
  <c r="AI26" i="29" s="1"/>
  <c r="L17" i="74"/>
  <c r="AG26" i="29" s="1"/>
  <c r="K17" i="74"/>
  <c r="AE26" i="29" s="1"/>
  <c r="J17" i="74"/>
  <c r="AC26" i="29" s="1"/>
  <c r="I17" i="74"/>
  <c r="AA26" i="29" s="1"/>
  <c r="H17" i="74"/>
  <c r="Y26" i="29" s="1"/>
  <c r="G17" i="74"/>
  <c r="W26" i="29" s="1"/>
  <c r="F17" i="74"/>
  <c r="S26" i="29" s="1"/>
  <c r="E17" i="74"/>
  <c r="Q26" i="29" s="1"/>
  <c r="D17" i="74"/>
  <c r="O26" i="29" s="1"/>
  <c r="C17" i="74"/>
  <c r="M26" i="29" s="1"/>
  <c r="O13" i="74"/>
  <c r="O11" i="74"/>
  <c r="O9" i="74"/>
  <c r="AK12" i="29"/>
  <c r="AI12" i="29"/>
  <c r="AG12" i="29"/>
  <c r="AE12" i="29"/>
  <c r="AC12" i="29"/>
  <c r="AA12" i="29"/>
  <c r="Y12" i="29"/>
  <c r="W12" i="29"/>
  <c r="S12" i="29"/>
  <c r="Q12" i="29"/>
  <c r="O12" i="29"/>
  <c r="M12" i="29"/>
  <c r="O17" i="73"/>
  <c r="O15" i="73"/>
  <c r="O13" i="73"/>
  <c r="AI37" i="29"/>
  <c r="AG37" i="29"/>
  <c r="AE37" i="29"/>
  <c r="AC37" i="29"/>
  <c r="AA37" i="29"/>
  <c r="Y37" i="29"/>
  <c r="W37" i="29"/>
  <c r="S37" i="29"/>
  <c r="Q37" i="29"/>
  <c r="O37" i="29"/>
  <c r="M37" i="29"/>
  <c r="O17" i="72"/>
  <c r="O15" i="72"/>
  <c r="O13" i="72"/>
  <c r="AI35" i="29"/>
  <c r="AG35" i="29"/>
  <c r="AE35" i="29"/>
  <c r="AA35" i="29"/>
  <c r="Y35" i="29"/>
  <c r="W35" i="29"/>
  <c r="S35" i="29"/>
  <c r="Q35" i="29"/>
  <c r="O35" i="29"/>
  <c r="M35" i="29"/>
  <c r="O17" i="71"/>
  <c r="O15" i="71"/>
  <c r="O13" i="71"/>
  <c r="AI46" i="29"/>
  <c r="AG46" i="29"/>
  <c r="AA46" i="29"/>
  <c r="Y46" i="29"/>
  <c r="W46" i="29"/>
  <c r="S46" i="29"/>
  <c r="Q46" i="29"/>
  <c r="O46" i="29"/>
  <c r="M46" i="29"/>
  <c r="O17" i="70"/>
  <c r="O15" i="70"/>
  <c r="O13" i="70"/>
  <c r="AI61" i="29"/>
  <c r="AG61" i="29"/>
  <c r="AE61" i="29"/>
  <c r="AA61" i="29"/>
  <c r="Y61" i="29"/>
  <c r="W61" i="29"/>
  <c r="S61" i="29"/>
  <c r="Q61" i="29"/>
  <c r="O61" i="29"/>
  <c r="M61" i="29"/>
  <c r="O17" i="69"/>
  <c r="O15" i="69"/>
  <c r="O13" i="69"/>
  <c r="AK54" i="29"/>
  <c r="AI54" i="29"/>
  <c r="AG54" i="29"/>
  <c r="AC54" i="29"/>
  <c r="AA54" i="29"/>
  <c r="Y54" i="29"/>
  <c r="W54" i="29"/>
  <c r="S54" i="29"/>
  <c r="Q54" i="29"/>
  <c r="O54" i="29"/>
  <c r="M54" i="29"/>
  <c r="O17" i="68"/>
  <c r="O15" i="68"/>
  <c r="O13" i="68"/>
  <c r="AK21" i="29"/>
  <c r="AI21" i="29"/>
  <c r="AG21" i="29"/>
  <c r="AE21" i="29"/>
  <c r="AC21" i="29"/>
  <c r="AA21" i="29"/>
  <c r="Y21" i="29"/>
  <c r="W21" i="29"/>
  <c r="S21" i="29"/>
  <c r="Q21" i="29"/>
  <c r="O21" i="29"/>
  <c r="M21" i="29"/>
  <c r="O17" i="66"/>
  <c r="O15" i="66"/>
  <c r="O13" i="66"/>
  <c r="AK20" i="29"/>
  <c r="AI20" i="29"/>
  <c r="AG20" i="29"/>
  <c r="AC20" i="29"/>
  <c r="AA20" i="29"/>
  <c r="Y20" i="29"/>
  <c r="W20" i="29"/>
  <c r="S20" i="29"/>
  <c r="Q20" i="29"/>
  <c r="O20" i="29"/>
  <c r="M20" i="29"/>
  <c r="O17" i="67"/>
  <c r="O15" i="67"/>
  <c r="O13" i="67"/>
  <c r="AI51" i="29"/>
  <c r="AG51" i="29"/>
  <c r="AE51" i="29"/>
  <c r="AC51" i="29"/>
  <c r="AA51" i="29"/>
  <c r="Y51" i="29"/>
  <c r="W51" i="29"/>
  <c r="S51" i="29"/>
  <c r="Q51" i="29"/>
  <c r="O51" i="29"/>
  <c r="M51" i="29"/>
  <c r="O17" i="65"/>
  <c r="O15" i="65"/>
  <c r="O13" i="65"/>
  <c r="AK33" i="29"/>
  <c r="AI33" i="29"/>
  <c r="AG33" i="29"/>
  <c r="AE33" i="29"/>
  <c r="AC33" i="29"/>
  <c r="AA33" i="29"/>
  <c r="Y33" i="29"/>
  <c r="W33" i="29"/>
  <c r="S33" i="29"/>
  <c r="Q33" i="29"/>
  <c r="O33" i="29"/>
  <c r="M33" i="29"/>
  <c r="O17" i="64"/>
  <c r="O15" i="64"/>
  <c r="O13" i="64"/>
  <c r="AI29" i="29"/>
  <c r="AG29" i="29"/>
  <c r="AE29" i="29"/>
  <c r="AA29" i="29"/>
  <c r="Y29" i="29"/>
  <c r="W29" i="29"/>
  <c r="S29" i="29"/>
  <c r="Q29" i="29"/>
  <c r="O29" i="29"/>
  <c r="M29" i="29"/>
  <c r="O17" i="63"/>
  <c r="O15" i="63"/>
  <c r="O13" i="63"/>
  <c r="AI55" i="29"/>
  <c r="AG55" i="29"/>
  <c r="AE55" i="29"/>
  <c r="AC55" i="29"/>
  <c r="AA55" i="29"/>
  <c r="Y55" i="29"/>
  <c r="W55" i="29"/>
  <c r="S55" i="29"/>
  <c r="Q55" i="29"/>
  <c r="O55" i="29"/>
  <c r="M55" i="29"/>
  <c r="O17" i="62"/>
  <c r="O15" i="62"/>
  <c r="O13" i="62"/>
  <c r="AK23" i="29"/>
  <c r="AI23" i="29"/>
  <c r="AG23" i="29"/>
  <c r="AE23" i="29"/>
  <c r="AC23" i="29"/>
  <c r="AA23" i="29"/>
  <c r="Y23" i="29"/>
  <c r="W23" i="29"/>
  <c r="S23" i="29"/>
  <c r="Q23" i="29"/>
  <c r="O23" i="29"/>
  <c r="M23" i="29"/>
  <c r="O17" i="61"/>
  <c r="O15" i="61"/>
  <c r="O13" i="61"/>
  <c r="AI15" i="29"/>
  <c r="AG15" i="29"/>
  <c r="AE15" i="29"/>
  <c r="AA15" i="29"/>
  <c r="Y15" i="29"/>
  <c r="W15" i="29"/>
  <c r="S15" i="29"/>
  <c r="Q15" i="29"/>
  <c r="O15" i="29"/>
  <c r="M15" i="29"/>
  <c r="O17" i="60"/>
  <c r="O15" i="60"/>
  <c r="O13" i="60"/>
  <c r="D27" i="59"/>
  <c r="E27" i="59" s="1"/>
  <c r="F27" i="59" s="1"/>
  <c r="G27" i="59" s="1"/>
  <c r="H27" i="59" s="1"/>
  <c r="I27" i="59" s="1"/>
  <c r="J27" i="59" s="1"/>
  <c r="K27" i="59" s="1"/>
  <c r="L27" i="59" s="1"/>
  <c r="M27" i="59" s="1"/>
  <c r="N27" i="59" s="1"/>
  <c r="O27" i="59" s="1"/>
  <c r="P27" i="59" s="1"/>
  <c r="O21" i="59"/>
  <c r="N17" i="59"/>
  <c r="AK13" i="29" s="1"/>
  <c r="M17" i="59"/>
  <c r="L17" i="59"/>
  <c r="AG13" i="29" s="1"/>
  <c r="K17" i="59"/>
  <c r="AE13" i="29" s="1"/>
  <c r="J17" i="59"/>
  <c r="AC13" i="29" s="1"/>
  <c r="I17" i="59"/>
  <c r="AA13" i="29" s="1"/>
  <c r="H17" i="59"/>
  <c r="Y13" i="29" s="1"/>
  <c r="G17" i="59"/>
  <c r="W13" i="29" s="1"/>
  <c r="F17" i="59"/>
  <c r="S13" i="29" s="1"/>
  <c r="E17" i="59"/>
  <c r="Q13" i="29" s="1"/>
  <c r="D17" i="59"/>
  <c r="O13" i="29" s="1"/>
  <c r="C17" i="59"/>
  <c r="M13" i="29" s="1"/>
  <c r="O13" i="59"/>
  <c r="O11" i="59"/>
  <c r="O9" i="59"/>
  <c r="AK38" i="29"/>
  <c r="AI38" i="29"/>
  <c r="AG38" i="29"/>
  <c r="AE38" i="29"/>
  <c r="AC38" i="29"/>
  <c r="Y38" i="29"/>
  <c r="W38" i="29"/>
  <c r="S38" i="29"/>
  <c r="Q38" i="29"/>
  <c r="O38" i="29"/>
  <c r="M38" i="29"/>
  <c r="O17" i="58"/>
  <c r="O15" i="58"/>
  <c r="O13" i="58"/>
  <c r="AI63" i="29"/>
  <c r="AG63" i="29"/>
  <c r="AA63" i="29"/>
  <c r="Y63" i="29"/>
  <c r="W63" i="29"/>
  <c r="S63" i="29"/>
  <c r="Q63" i="29"/>
  <c r="O63" i="29"/>
  <c r="M63" i="29"/>
  <c r="O17" i="57"/>
  <c r="O15" i="57"/>
  <c r="O13" i="57"/>
  <c r="AI25" i="29"/>
  <c r="AG25" i="29"/>
  <c r="AE25" i="29"/>
  <c r="AA25" i="29"/>
  <c r="Y25" i="29"/>
  <c r="W25" i="29"/>
  <c r="S25" i="29"/>
  <c r="Q25" i="29"/>
  <c r="O25" i="29"/>
  <c r="M25" i="29"/>
  <c r="O17" i="56"/>
  <c r="O15" i="56"/>
  <c r="O13" i="56"/>
  <c r="AK27" i="29"/>
  <c r="AI27" i="29"/>
  <c r="AG27" i="29"/>
  <c r="AE27" i="29"/>
  <c r="AC27" i="29"/>
  <c r="AA27" i="29"/>
  <c r="Y27" i="29"/>
  <c r="W27" i="29"/>
  <c r="S27" i="29"/>
  <c r="Q27" i="29"/>
  <c r="O27" i="29"/>
  <c r="M27" i="29"/>
  <c r="O17" i="55"/>
  <c r="O15" i="55"/>
  <c r="O13" i="55"/>
  <c r="AI16" i="29"/>
  <c r="AG16" i="29"/>
  <c r="AC16" i="29"/>
  <c r="AA16" i="29"/>
  <c r="Y16" i="29"/>
  <c r="W16" i="29"/>
  <c r="S16" i="29"/>
  <c r="Q16" i="29"/>
  <c r="O16" i="29"/>
  <c r="M16" i="29"/>
  <c r="O17" i="54"/>
  <c r="O15" i="54"/>
  <c r="O13" i="54"/>
  <c r="AI34" i="29"/>
  <c r="AG34" i="29"/>
  <c r="AA34" i="29"/>
  <c r="Y34" i="29"/>
  <c r="W34" i="29"/>
  <c r="S34" i="29"/>
  <c r="Q34" i="29"/>
  <c r="O34" i="29"/>
  <c r="M34" i="29"/>
  <c r="O17" i="53"/>
  <c r="O15" i="53"/>
  <c r="O13" i="53"/>
  <c r="AI50" i="29"/>
  <c r="AG50" i="29"/>
  <c r="AE50" i="29"/>
  <c r="AA50" i="29"/>
  <c r="Y50" i="29"/>
  <c r="W50" i="29"/>
  <c r="S50" i="29"/>
  <c r="Q50" i="29"/>
  <c r="O50" i="29"/>
  <c r="M50" i="29"/>
  <c r="O17" i="52"/>
  <c r="O15" i="52"/>
  <c r="O13" i="52"/>
  <c r="AK44" i="29"/>
  <c r="AI44" i="29"/>
  <c r="AG44" i="29"/>
  <c r="AE44" i="29"/>
  <c r="AC44" i="29"/>
  <c r="AA44" i="29"/>
  <c r="Y44" i="29"/>
  <c r="W44" i="29"/>
  <c r="S44" i="29"/>
  <c r="Q44" i="29"/>
  <c r="O44" i="29"/>
  <c r="M44" i="29"/>
  <c r="O17" i="51"/>
  <c r="O15" i="51"/>
  <c r="O13" i="51"/>
  <c r="AI49" i="29"/>
  <c r="AG49" i="29"/>
  <c r="AE49" i="29"/>
  <c r="AA49" i="29"/>
  <c r="Y49" i="29"/>
  <c r="W49" i="29"/>
  <c r="S49" i="29"/>
  <c r="Q49" i="29"/>
  <c r="O49" i="29"/>
  <c r="M49" i="29"/>
  <c r="O17" i="50"/>
  <c r="O15" i="50"/>
  <c r="O13" i="50"/>
  <c r="AK32" i="29"/>
  <c r="AI32" i="29"/>
  <c r="AG32" i="29"/>
  <c r="AE32" i="29"/>
  <c r="AC32" i="29"/>
  <c r="AA32" i="29"/>
  <c r="Y32" i="29"/>
  <c r="W32" i="29"/>
  <c r="S32" i="29"/>
  <c r="Q32" i="29"/>
  <c r="O32" i="29"/>
  <c r="M32" i="29"/>
  <c r="O17" i="49"/>
  <c r="O15" i="49"/>
  <c r="O13" i="49"/>
  <c r="AI18" i="29"/>
  <c r="AG18" i="29"/>
  <c r="AE18" i="29"/>
  <c r="AA18" i="29"/>
  <c r="Y18" i="29"/>
  <c r="W18" i="29"/>
  <c r="S18" i="29"/>
  <c r="Q18" i="29"/>
  <c r="O18" i="29"/>
  <c r="M18" i="29"/>
  <c r="O17" i="48"/>
  <c r="O15" i="48"/>
  <c r="AI36" i="29"/>
  <c r="AG36" i="29"/>
  <c r="AA36" i="29"/>
  <c r="Y36" i="29"/>
  <c r="W36" i="29"/>
  <c r="S36" i="29"/>
  <c r="Q36" i="29"/>
  <c r="O36" i="29"/>
  <c r="M36" i="29"/>
  <c r="O17" i="47"/>
  <c r="O15" i="47"/>
  <c r="O13" i="47"/>
  <c r="O13" i="3"/>
  <c r="O17" i="3"/>
  <c r="AG108" i="29" l="1"/>
  <c r="P31" i="86"/>
  <c r="P32" i="86" s="1"/>
  <c r="G36" i="3"/>
  <c r="H36" i="3"/>
  <c r="I36" i="3" s="1"/>
  <c r="Q31" i="87"/>
  <c r="Q32" i="87" s="1"/>
  <c r="P32" i="87"/>
  <c r="P31" i="85"/>
  <c r="P32" i="85" s="1"/>
  <c r="O19" i="53"/>
  <c r="O21" i="53" s="1"/>
  <c r="AC36" i="29"/>
  <c r="AK36" i="29"/>
  <c r="AC34" i="29"/>
  <c r="AK34" i="29"/>
  <c r="AK51" i="29"/>
  <c r="AE20" i="29"/>
  <c r="AE54" i="29"/>
  <c r="AC61" i="29"/>
  <c r="AK61" i="29"/>
  <c r="AE46" i="29"/>
  <c r="AC35" i="29"/>
  <c r="AK35" i="29"/>
  <c r="AE59" i="29"/>
  <c r="AK14" i="29"/>
  <c r="AE16" i="29"/>
  <c r="AC63" i="29"/>
  <c r="AK63" i="29"/>
  <c r="AC29" i="29"/>
  <c r="AK29" i="29"/>
  <c r="AE36" i="29"/>
  <c r="AC18" i="29"/>
  <c r="AK18" i="29"/>
  <c r="AC49" i="29"/>
  <c r="AK49" i="29"/>
  <c r="AC50" i="29"/>
  <c r="AK50" i="29"/>
  <c r="AE34" i="29"/>
  <c r="AK16" i="29"/>
  <c r="AC25" i="29"/>
  <c r="AK25" i="29"/>
  <c r="AE63" i="29"/>
  <c r="M19" i="59"/>
  <c r="M22" i="59" s="1"/>
  <c r="AI13" i="29"/>
  <c r="AC15" i="29"/>
  <c r="AK15" i="29"/>
  <c r="AK55" i="29"/>
  <c r="AC46" i="29"/>
  <c r="AK46" i="29"/>
  <c r="AK37" i="29"/>
  <c r="AC59" i="29"/>
  <c r="AK59" i="29"/>
  <c r="J19" i="78"/>
  <c r="J22" i="78" s="1"/>
  <c r="J24" i="78" s="1"/>
  <c r="AC62" i="29"/>
  <c r="N19" i="78"/>
  <c r="N22" i="78" s="1"/>
  <c r="N24" i="78" s="1"/>
  <c r="AK62" i="29"/>
  <c r="AC22" i="29"/>
  <c r="AK22" i="29"/>
  <c r="AE14" i="29"/>
  <c r="O15" i="75"/>
  <c r="O17" i="75" s="1"/>
  <c r="O19" i="83"/>
  <c r="O21" i="83" s="1"/>
  <c r="O28" i="83" s="1"/>
  <c r="O30" i="83" s="1"/>
  <c r="O19" i="65"/>
  <c r="O21" i="65" s="1"/>
  <c r="O28" i="65" s="1"/>
  <c r="O30" i="65" s="1"/>
  <c r="O31" i="65" s="1"/>
  <c r="C22" i="88"/>
  <c r="C24" i="88" s="1"/>
  <c r="P28" i="88" s="1"/>
  <c r="P29" i="88" s="1"/>
  <c r="P31" i="88" s="1"/>
  <c r="P33" i="88" s="1"/>
  <c r="Q27" i="77"/>
  <c r="Q28" i="77" s="1"/>
  <c r="Q29" i="77" s="1"/>
  <c r="Q31" i="77" s="1"/>
  <c r="Q32" i="77" s="1"/>
  <c r="P28" i="77"/>
  <c r="P29" i="77" s="1"/>
  <c r="P31" i="77" s="1"/>
  <c r="Q27" i="75"/>
  <c r="Q28" i="75" s="1"/>
  <c r="Q29" i="75" s="1"/>
  <c r="Q31" i="75" s="1"/>
  <c r="Q32" i="75" s="1"/>
  <c r="P28" i="75"/>
  <c r="P29" i="75" s="1"/>
  <c r="P31" i="75" s="1"/>
  <c r="P32" i="75" s="1"/>
  <c r="O19" i="73"/>
  <c r="O21" i="73" s="1"/>
  <c r="O28" i="73" s="1"/>
  <c r="O30" i="73" s="1"/>
  <c r="O31" i="73" s="1"/>
  <c r="Q27" i="80"/>
  <c r="Q28" i="80" s="1"/>
  <c r="Q29" i="80" s="1"/>
  <c r="Q31" i="80" s="1"/>
  <c r="Q32" i="80" s="1"/>
  <c r="P28" i="80"/>
  <c r="P29" i="80" s="1"/>
  <c r="P31" i="80" s="1"/>
  <c r="P32" i="80" s="1"/>
  <c r="O19" i="58"/>
  <c r="O21" i="58" s="1"/>
  <c r="O19" i="71"/>
  <c r="O21" i="71" s="1"/>
  <c r="O28" i="71" s="1"/>
  <c r="O30" i="71" s="1"/>
  <c r="O15" i="74"/>
  <c r="O17" i="74" s="1"/>
  <c r="Q27" i="78"/>
  <c r="Q28" i="78" s="1"/>
  <c r="Q29" i="78" s="1"/>
  <c r="Q31" i="78" s="1"/>
  <c r="Q32" i="78" s="1"/>
  <c r="P28" i="78"/>
  <c r="P29" i="78" s="1"/>
  <c r="P31" i="78" s="1"/>
  <c r="P32" i="78" s="1"/>
  <c r="P39" i="89"/>
  <c r="V58" i="29"/>
  <c r="Q27" i="59"/>
  <c r="Q28" i="59" s="1"/>
  <c r="Q29" i="59" s="1"/>
  <c r="Q31" i="59" s="1"/>
  <c r="P28" i="59"/>
  <c r="P29" i="59" s="1"/>
  <c r="P31" i="59" s="1"/>
  <c r="O19" i="67"/>
  <c r="O21" i="67" s="1"/>
  <c r="O28" i="67" s="1"/>
  <c r="O30" i="67" s="1"/>
  <c r="O31" i="67" s="1"/>
  <c r="O19" i="72"/>
  <c r="O21" i="72" s="1"/>
  <c r="O28" i="72" s="1"/>
  <c r="O30" i="72" s="1"/>
  <c r="Q27" i="74"/>
  <c r="Q28" i="74" s="1"/>
  <c r="Q29" i="74" s="1"/>
  <c r="Q31" i="74" s="1"/>
  <c r="Q32" i="74" s="1"/>
  <c r="P28" i="74"/>
  <c r="P29" i="74" s="1"/>
  <c r="P31" i="74" s="1"/>
  <c r="P32" i="74" s="1"/>
  <c r="O19" i="79"/>
  <c r="O21" i="79" s="1"/>
  <c r="O28" i="79" s="1"/>
  <c r="O30" i="79" s="1"/>
  <c r="Q27" i="82"/>
  <c r="Q28" i="82" s="1"/>
  <c r="Q29" i="82" s="1"/>
  <c r="Q31" i="82" s="1"/>
  <c r="Q32" i="82" s="1"/>
  <c r="P28" i="82"/>
  <c r="P29" i="82" s="1"/>
  <c r="P31" i="82" s="1"/>
  <c r="P32" i="82" s="1"/>
  <c r="F19" i="77"/>
  <c r="F22" i="77" s="1"/>
  <c r="F24" i="77" s="1"/>
  <c r="J19" i="77"/>
  <c r="J22" i="77" s="1"/>
  <c r="J24" i="77" s="1"/>
  <c r="N19" i="77"/>
  <c r="N22" i="77" s="1"/>
  <c r="N24" i="77" s="1"/>
  <c r="F19" i="78"/>
  <c r="F22" i="78" s="1"/>
  <c r="F24" i="78" s="1"/>
  <c r="O19" i="64"/>
  <c r="O21" i="64" s="1"/>
  <c r="O28" i="64" s="1"/>
  <c r="O30" i="64" s="1"/>
  <c r="O19" i="68"/>
  <c r="O21" i="68" s="1"/>
  <c r="O28" i="68" s="1"/>
  <c r="O30" i="68" s="1"/>
  <c r="O19" i="70"/>
  <c r="O21" i="70" s="1"/>
  <c r="O28" i="70" s="1"/>
  <c r="O30" i="70" s="1"/>
  <c r="O19" i="76"/>
  <c r="O21" i="76" s="1"/>
  <c r="O28" i="76" s="1"/>
  <c r="O30" i="76" s="1"/>
  <c r="O31" i="76" s="1"/>
  <c r="O15" i="80"/>
  <c r="O17" i="80" s="1"/>
  <c r="O19" i="66"/>
  <c r="O21" i="66" s="1"/>
  <c r="O28" i="66" s="1"/>
  <c r="O30" i="66" s="1"/>
  <c r="O31" i="66" s="1"/>
  <c r="O15" i="78"/>
  <c r="O17" i="78" s="1"/>
  <c r="O15" i="82"/>
  <c r="O17" i="82" s="1"/>
  <c r="O19" i="81"/>
  <c r="O21" i="81" s="1"/>
  <c r="O28" i="81" s="1"/>
  <c r="O30" i="81" s="1"/>
  <c r="V7" i="29"/>
  <c r="O15" i="59"/>
  <c r="O17" i="59" s="1"/>
  <c r="O21" i="56"/>
  <c r="O19" i="55"/>
  <c r="O19" i="52"/>
  <c r="O21" i="52" s="1"/>
  <c r="O28" i="52" s="1"/>
  <c r="O30" i="52" s="1"/>
  <c r="O31" i="52" s="1"/>
  <c r="O19" i="50"/>
  <c r="O21" i="50" s="1"/>
  <c r="O28" i="50" s="1"/>
  <c r="O30" i="50" s="1"/>
  <c r="O19" i="48"/>
  <c r="O21" i="48" s="1"/>
  <c r="O19" i="57"/>
  <c r="O21" i="57" s="1"/>
  <c r="O28" i="57" s="1"/>
  <c r="O30" i="57" s="1"/>
  <c r="O19" i="54"/>
  <c r="O21" i="54" s="1"/>
  <c r="O28" i="54" s="1"/>
  <c r="O30" i="54" s="1"/>
  <c r="O31" i="54" s="1"/>
  <c r="O19" i="51"/>
  <c r="O21" i="51" s="1"/>
  <c r="O28" i="51" s="1"/>
  <c r="O30" i="51" s="1"/>
  <c r="O19" i="49"/>
  <c r="O21" i="49" s="1"/>
  <c r="O28" i="49" s="1"/>
  <c r="O30" i="49" s="1"/>
  <c r="O30" i="47"/>
  <c r="I19" i="59"/>
  <c r="I22" i="59" s="1"/>
  <c r="I24" i="59" s="1"/>
  <c r="C41" i="87"/>
  <c r="N43" i="29"/>
  <c r="E19" i="59"/>
  <c r="E22" i="59" s="1"/>
  <c r="E24" i="59" s="1"/>
  <c r="N8" i="29"/>
  <c r="O19" i="61"/>
  <c r="O21" i="61" s="1"/>
  <c r="O28" i="61" s="1"/>
  <c r="O30" i="61" s="1"/>
  <c r="O15" i="77"/>
  <c r="O17" i="77" s="1"/>
  <c r="O19" i="69"/>
  <c r="O21" i="69" s="1"/>
  <c r="O28" i="69" s="1"/>
  <c r="O30" i="69" s="1"/>
  <c r="O31" i="69" s="1"/>
  <c r="D19" i="82"/>
  <c r="D22" i="82" s="1"/>
  <c r="D24" i="82" s="1"/>
  <c r="H19" i="82"/>
  <c r="H22" i="82" s="1"/>
  <c r="H24" i="82" s="1"/>
  <c r="L19" i="82"/>
  <c r="L22" i="82" s="1"/>
  <c r="L24" i="82" s="1"/>
  <c r="F19" i="82"/>
  <c r="F22" i="82" s="1"/>
  <c r="F24" i="82" s="1"/>
  <c r="J19" i="82"/>
  <c r="J22" i="82" s="1"/>
  <c r="J24" i="82" s="1"/>
  <c r="N19" i="82"/>
  <c r="N22" i="82" s="1"/>
  <c r="N24" i="82" s="1"/>
  <c r="C19" i="82"/>
  <c r="G19" i="82"/>
  <c r="G22" i="82" s="1"/>
  <c r="G24" i="82" s="1"/>
  <c r="K19" i="82"/>
  <c r="K22" i="82" s="1"/>
  <c r="K24" i="82" s="1"/>
  <c r="E19" i="82"/>
  <c r="E22" i="82" s="1"/>
  <c r="E24" i="82" s="1"/>
  <c r="I19" i="82"/>
  <c r="I22" i="82" s="1"/>
  <c r="I24" i="82" s="1"/>
  <c r="M19" i="82"/>
  <c r="M22" i="82" s="1"/>
  <c r="M24" i="82" s="1"/>
  <c r="C19" i="80"/>
  <c r="G19" i="80"/>
  <c r="G22" i="80" s="1"/>
  <c r="G24" i="80" s="1"/>
  <c r="K19" i="80"/>
  <c r="K22" i="80" s="1"/>
  <c r="K24" i="80" s="1"/>
  <c r="F19" i="80"/>
  <c r="F22" i="80" s="1"/>
  <c r="F24" i="80" s="1"/>
  <c r="J19" i="80"/>
  <c r="J22" i="80" s="1"/>
  <c r="J24" i="80" s="1"/>
  <c r="N19" i="80"/>
  <c r="N22" i="80" s="1"/>
  <c r="N24" i="80" s="1"/>
  <c r="D19" i="80"/>
  <c r="D22" i="80" s="1"/>
  <c r="D24" i="80" s="1"/>
  <c r="H19" i="80"/>
  <c r="H22" i="80" s="1"/>
  <c r="H24" i="80" s="1"/>
  <c r="L19" i="80"/>
  <c r="L22" i="80" s="1"/>
  <c r="L24" i="80" s="1"/>
  <c r="E19" i="80"/>
  <c r="E22" i="80" s="1"/>
  <c r="E24" i="80" s="1"/>
  <c r="I19" i="80"/>
  <c r="I22" i="80" s="1"/>
  <c r="I24" i="80" s="1"/>
  <c r="M19" i="80"/>
  <c r="M22" i="80" s="1"/>
  <c r="M24" i="80" s="1"/>
  <c r="C19" i="78"/>
  <c r="G19" i="78"/>
  <c r="G22" i="78" s="1"/>
  <c r="G24" i="78" s="1"/>
  <c r="K19" i="78"/>
  <c r="K22" i="78" s="1"/>
  <c r="K24" i="78" s="1"/>
  <c r="I19" i="78"/>
  <c r="I22" i="78" s="1"/>
  <c r="I24" i="78" s="1"/>
  <c r="D19" i="78"/>
  <c r="D22" i="78" s="1"/>
  <c r="D24" i="78" s="1"/>
  <c r="H19" i="78"/>
  <c r="H22" i="78" s="1"/>
  <c r="H24" i="78" s="1"/>
  <c r="L19" i="78"/>
  <c r="L22" i="78" s="1"/>
  <c r="L24" i="78" s="1"/>
  <c r="E19" i="78"/>
  <c r="E22" i="78" s="1"/>
  <c r="E24" i="78" s="1"/>
  <c r="M19" i="78"/>
  <c r="M22" i="78" s="1"/>
  <c r="M24" i="78" s="1"/>
  <c r="C19" i="77"/>
  <c r="G19" i="77"/>
  <c r="G22" i="77" s="1"/>
  <c r="G24" i="77" s="1"/>
  <c r="K19" i="77"/>
  <c r="K22" i="77" s="1"/>
  <c r="K24" i="77" s="1"/>
  <c r="D19" i="77"/>
  <c r="D22" i="77" s="1"/>
  <c r="D24" i="77" s="1"/>
  <c r="H19" i="77"/>
  <c r="H22" i="77" s="1"/>
  <c r="H24" i="77" s="1"/>
  <c r="L19" i="77"/>
  <c r="L22" i="77" s="1"/>
  <c r="L24" i="77" s="1"/>
  <c r="E19" i="77"/>
  <c r="E22" i="77" s="1"/>
  <c r="E24" i="77" s="1"/>
  <c r="I19" i="77"/>
  <c r="I22" i="77" s="1"/>
  <c r="I24" i="77" s="1"/>
  <c r="M19" i="77"/>
  <c r="M22" i="77" s="1"/>
  <c r="M24" i="77" s="1"/>
  <c r="F19" i="75"/>
  <c r="F22" i="75" s="1"/>
  <c r="F24" i="75" s="1"/>
  <c r="J19" i="75"/>
  <c r="J22" i="75" s="1"/>
  <c r="J24" i="75" s="1"/>
  <c r="N19" i="75"/>
  <c r="N22" i="75" s="1"/>
  <c r="N24" i="75" s="1"/>
  <c r="C19" i="75"/>
  <c r="G19" i="75"/>
  <c r="G22" i="75" s="1"/>
  <c r="G24" i="75" s="1"/>
  <c r="K19" i="75"/>
  <c r="K22" i="75" s="1"/>
  <c r="K24" i="75" s="1"/>
  <c r="D19" i="75"/>
  <c r="D22" i="75" s="1"/>
  <c r="D24" i="75" s="1"/>
  <c r="H19" i="75"/>
  <c r="H22" i="75" s="1"/>
  <c r="H24" i="75" s="1"/>
  <c r="L19" i="75"/>
  <c r="L22" i="75" s="1"/>
  <c r="L24" i="75" s="1"/>
  <c r="E19" i="75"/>
  <c r="E22" i="75" s="1"/>
  <c r="E24" i="75" s="1"/>
  <c r="I19" i="75"/>
  <c r="I22" i="75" s="1"/>
  <c r="I24" i="75" s="1"/>
  <c r="M19" i="75"/>
  <c r="M22" i="75" s="1"/>
  <c r="M24" i="75" s="1"/>
  <c r="H19" i="74"/>
  <c r="H22" i="74" s="1"/>
  <c r="H24" i="74" s="1"/>
  <c r="F19" i="74"/>
  <c r="F22" i="74" s="1"/>
  <c r="F24" i="74" s="1"/>
  <c r="J19" i="74"/>
  <c r="J22" i="74" s="1"/>
  <c r="J24" i="74" s="1"/>
  <c r="N19" i="74"/>
  <c r="N22" i="74" s="1"/>
  <c r="N24" i="74" s="1"/>
  <c r="D19" i="74"/>
  <c r="D22" i="74" s="1"/>
  <c r="D24" i="74" s="1"/>
  <c r="L19" i="74"/>
  <c r="L22" i="74" s="1"/>
  <c r="L24" i="74" s="1"/>
  <c r="C19" i="74"/>
  <c r="G19" i="74"/>
  <c r="G22" i="74" s="1"/>
  <c r="G24" i="74" s="1"/>
  <c r="K19" i="74"/>
  <c r="K22" i="74" s="1"/>
  <c r="K24" i="74" s="1"/>
  <c r="E19" i="74"/>
  <c r="E22" i="74" s="1"/>
  <c r="E24" i="74" s="1"/>
  <c r="I19" i="74"/>
  <c r="I22" i="74" s="1"/>
  <c r="I24" i="74" s="1"/>
  <c r="M19" i="74"/>
  <c r="M22" i="74" s="1"/>
  <c r="M24" i="74" s="1"/>
  <c r="O19" i="63"/>
  <c r="O21" i="63" s="1"/>
  <c r="O28" i="63" s="1"/>
  <c r="O30" i="63" s="1"/>
  <c r="O19" i="62"/>
  <c r="O21" i="62" s="1"/>
  <c r="O28" i="62" s="1"/>
  <c r="O30" i="62" s="1"/>
  <c r="O19" i="60"/>
  <c r="O21" i="60" s="1"/>
  <c r="O28" i="60" s="1"/>
  <c r="O30" i="60" s="1"/>
  <c r="O31" i="60" s="1"/>
  <c r="M24" i="59"/>
  <c r="F19" i="59"/>
  <c r="F22" i="59" s="1"/>
  <c r="F24" i="59" s="1"/>
  <c r="J19" i="59"/>
  <c r="J22" i="59" s="1"/>
  <c r="J24" i="59" s="1"/>
  <c r="N19" i="59"/>
  <c r="N22" i="59" s="1"/>
  <c r="N24" i="59" s="1"/>
  <c r="C19" i="59"/>
  <c r="G19" i="59"/>
  <c r="G22" i="59" s="1"/>
  <c r="G24" i="59" s="1"/>
  <c r="K19" i="59"/>
  <c r="K22" i="59" s="1"/>
  <c r="K24" i="59" s="1"/>
  <c r="D19" i="59"/>
  <c r="D22" i="59" s="1"/>
  <c r="D24" i="59" s="1"/>
  <c r="H19" i="59"/>
  <c r="H22" i="59" s="1"/>
  <c r="H24" i="59" s="1"/>
  <c r="L19" i="59"/>
  <c r="L22" i="59" s="1"/>
  <c r="L24" i="59" s="1"/>
  <c r="O23" i="58" l="1"/>
  <c r="O26" i="58" s="1"/>
  <c r="O28" i="58" s="1"/>
  <c r="O30" i="58" s="1"/>
  <c r="O21" i="55"/>
  <c r="O28" i="55" s="1"/>
  <c r="O30" i="55" s="1"/>
  <c r="Q33" i="87"/>
  <c r="Q35" i="87" s="1"/>
  <c r="Q36" i="87" s="1"/>
  <c r="P33" i="87"/>
  <c r="P35" i="87" s="1"/>
  <c r="P36" i="87" s="1"/>
  <c r="P41" i="87" s="1"/>
  <c r="O23" i="53"/>
  <c r="O26" i="53" s="1"/>
  <c r="O28" i="53" s="1"/>
  <c r="O30" i="53" s="1"/>
  <c r="O31" i="53" s="1"/>
  <c r="P31" i="53" s="1"/>
  <c r="O23" i="56"/>
  <c r="O26" i="56" s="1"/>
  <c r="O28" i="56" s="1"/>
  <c r="O30" i="56" s="1"/>
  <c r="O26" i="48"/>
  <c r="O28" i="48" s="1"/>
  <c r="O30" i="48" s="1"/>
  <c r="O31" i="48" s="1"/>
  <c r="P31" i="48" s="1"/>
  <c r="P33" i="85"/>
  <c r="P35" i="85" s="1"/>
  <c r="P37" i="85" s="1"/>
  <c r="P33" i="86"/>
  <c r="P35" i="86" s="1"/>
  <c r="J36" i="3"/>
  <c r="K36" i="3" s="1"/>
  <c r="O31" i="57"/>
  <c r="P31" i="57" s="1"/>
  <c r="O32" i="69"/>
  <c r="O33" i="69" s="1"/>
  <c r="O35" i="69" s="1"/>
  <c r="P31" i="69"/>
  <c r="O32" i="76"/>
  <c r="O33" i="76" s="1"/>
  <c r="O35" i="76" s="1"/>
  <c r="P31" i="76"/>
  <c r="O31" i="62"/>
  <c r="P31" i="62" s="1"/>
  <c r="O31" i="68"/>
  <c r="P31" i="68" s="1"/>
  <c r="O32" i="65"/>
  <c r="O35" i="65" s="1"/>
  <c r="P31" i="65"/>
  <c r="O32" i="52"/>
  <c r="O33" i="52" s="1"/>
  <c r="O35" i="52" s="1"/>
  <c r="P31" i="52"/>
  <c r="O31" i="50"/>
  <c r="P31" i="50" s="1"/>
  <c r="O31" i="79"/>
  <c r="P31" i="79" s="1"/>
  <c r="O31" i="70"/>
  <c r="P31" i="70" s="1"/>
  <c r="O31" i="51"/>
  <c r="P31" i="51" s="1"/>
  <c r="O31" i="72"/>
  <c r="P31" i="72" s="1"/>
  <c r="P31" i="47"/>
  <c r="O31" i="71"/>
  <c r="P31" i="71" s="1"/>
  <c r="O31" i="64"/>
  <c r="P31" i="64" s="1"/>
  <c r="O31" i="49"/>
  <c r="P31" i="49" s="1"/>
  <c r="D41" i="87"/>
  <c r="O31" i="63"/>
  <c r="P31" i="63" s="1"/>
  <c r="O31" i="61"/>
  <c r="P31" i="61" s="1"/>
  <c r="O31" i="81"/>
  <c r="P31" i="81" s="1"/>
  <c r="O32" i="67"/>
  <c r="O33" i="67" s="1"/>
  <c r="O35" i="67" s="1"/>
  <c r="P31" i="67"/>
  <c r="O32" i="73"/>
  <c r="O33" i="73" s="1"/>
  <c r="O35" i="73" s="1"/>
  <c r="P31" i="73"/>
  <c r="O31" i="83"/>
  <c r="P31" i="83" s="1"/>
  <c r="O32" i="66"/>
  <c r="O33" i="66" s="1"/>
  <c r="O35" i="66" s="1"/>
  <c r="P31" i="66"/>
  <c r="O32" i="60"/>
  <c r="O33" i="60" s="1"/>
  <c r="O35" i="60" s="1"/>
  <c r="P31" i="60"/>
  <c r="O32" i="54"/>
  <c r="O33" i="54" s="1"/>
  <c r="O35" i="54" s="1"/>
  <c r="P31" i="54"/>
  <c r="X43" i="29"/>
  <c r="J26" i="88"/>
  <c r="J28" i="88" s="1"/>
  <c r="J29" i="88" s="1"/>
  <c r="J31" i="88" s="1"/>
  <c r="I26" i="88"/>
  <c r="I28" i="88" s="1"/>
  <c r="I29" i="88" s="1"/>
  <c r="I31" i="88" s="1"/>
  <c r="G26" i="88"/>
  <c r="G28" i="88" s="1"/>
  <c r="G29" i="88" s="1"/>
  <c r="G31" i="88" s="1"/>
  <c r="P43" i="29"/>
  <c r="D26" i="88"/>
  <c r="D28" i="88" s="1"/>
  <c r="D29" i="88" s="1"/>
  <c r="D31" i="88" s="1"/>
  <c r="H26" i="88"/>
  <c r="H28" i="88" s="1"/>
  <c r="H29" i="88" s="1"/>
  <c r="H31" i="88" s="1"/>
  <c r="L26" i="88"/>
  <c r="L28" i="88" s="1"/>
  <c r="L29" i="88" s="1"/>
  <c r="L31" i="88" s="1"/>
  <c r="P7" i="29"/>
  <c r="P58" i="29"/>
  <c r="Q32" i="59"/>
  <c r="E26" i="88"/>
  <c r="E28" i="88" s="1"/>
  <c r="E29" i="88" s="1"/>
  <c r="E31" i="88" s="1"/>
  <c r="M26" i="88"/>
  <c r="M28" i="88" s="1"/>
  <c r="M29" i="88" s="1"/>
  <c r="M31" i="88" s="1"/>
  <c r="F26" i="88"/>
  <c r="F28" i="88" s="1"/>
  <c r="F29" i="88" s="1"/>
  <c r="F31" i="88" s="1"/>
  <c r="N26" i="88"/>
  <c r="N28" i="88" s="1"/>
  <c r="N29" i="88" s="1"/>
  <c r="N31" i="88" s="1"/>
  <c r="C26" i="88"/>
  <c r="C28" i="88" s="1"/>
  <c r="C29" i="88" s="1"/>
  <c r="C31" i="88" s="1"/>
  <c r="K26" i="88"/>
  <c r="K28" i="88" s="1"/>
  <c r="K29" i="88" s="1"/>
  <c r="K31" i="88" s="1"/>
  <c r="P8" i="29"/>
  <c r="Q37" i="82"/>
  <c r="Q37" i="75"/>
  <c r="Q37" i="77"/>
  <c r="V6" i="29"/>
  <c r="P35" i="88"/>
  <c r="Q37" i="78"/>
  <c r="Q37" i="74"/>
  <c r="Q37" i="80"/>
  <c r="P41" i="81"/>
  <c r="P41" i="66"/>
  <c r="P41" i="54"/>
  <c r="P33" i="78"/>
  <c r="P37" i="78"/>
  <c r="P41" i="73"/>
  <c r="P37" i="82"/>
  <c r="P33" i="82"/>
  <c r="P41" i="67"/>
  <c r="P41" i="60"/>
  <c r="P41" i="83"/>
  <c r="P37" i="75"/>
  <c r="P33" i="75"/>
  <c r="P33" i="77"/>
  <c r="P37" i="77"/>
  <c r="P37" i="74"/>
  <c r="P33" i="74"/>
  <c r="P37" i="59"/>
  <c r="P33" i="59"/>
  <c r="P33" i="80"/>
  <c r="P37" i="80"/>
  <c r="C41" i="83"/>
  <c r="N14" i="29"/>
  <c r="E41" i="87"/>
  <c r="R43" i="29"/>
  <c r="C41" i="89"/>
  <c r="N58" i="29"/>
  <c r="C41" i="57"/>
  <c r="N63" i="29"/>
  <c r="T43" i="29"/>
  <c r="C41" i="86"/>
  <c r="C41" i="84"/>
  <c r="N7" i="29"/>
  <c r="C41" i="54"/>
  <c r="N16" i="29"/>
  <c r="C41" i="70"/>
  <c r="N46" i="29"/>
  <c r="C41" i="67"/>
  <c r="N20" i="29"/>
  <c r="C22" i="82"/>
  <c r="C24" i="82" s="1"/>
  <c r="O19" i="82"/>
  <c r="O22" i="82" s="1"/>
  <c r="O24" i="82" s="1"/>
  <c r="O26" i="82" s="1"/>
  <c r="O28" i="82" s="1"/>
  <c r="O29" i="82" s="1"/>
  <c r="O31" i="82" s="1"/>
  <c r="C22" i="80"/>
  <c r="C24" i="80" s="1"/>
  <c r="O19" i="80"/>
  <c r="O22" i="80" s="1"/>
  <c r="O24" i="80" s="1"/>
  <c r="O26" i="80" s="1"/>
  <c r="O28" i="80" s="1"/>
  <c r="O29" i="80" s="1"/>
  <c r="O31" i="80" s="1"/>
  <c r="C22" i="78"/>
  <c r="C24" i="78" s="1"/>
  <c r="O19" i="78"/>
  <c r="O22" i="78" s="1"/>
  <c r="O24" i="78" s="1"/>
  <c r="O26" i="78" s="1"/>
  <c r="O28" i="78" s="1"/>
  <c r="O29" i="78" s="1"/>
  <c r="O31" i="78" s="1"/>
  <c r="O19" i="77"/>
  <c r="O22" i="77" s="1"/>
  <c r="O24" i="77" s="1"/>
  <c r="O26" i="77" s="1"/>
  <c r="O28" i="77" s="1"/>
  <c r="O29" i="77" s="1"/>
  <c r="O31" i="77" s="1"/>
  <c r="C22" i="77"/>
  <c r="C24" i="77" s="1"/>
  <c r="C22" i="75"/>
  <c r="C24" i="75" s="1"/>
  <c r="O19" i="75"/>
  <c r="O22" i="75" s="1"/>
  <c r="O24" i="75" s="1"/>
  <c r="O26" i="75" s="1"/>
  <c r="O28" i="75" s="1"/>
  <c r="O29" i="75" s="1"/>
  <c r="O31" i="75" s="1"/>
  <c r="C22" i="74"/>
  <c r="C24" i="74" s="1"/>
  <c r="O19" i="74"/>
  <c r="O22" i="74" s="1"/>
  <c r="O24" i="74" s="1"/>
  <c r="O26" i="74" s="1"/>
  <c r="O28" i="74" s="1"/>
  <c r="O29" i="74" s="1"/>
  <c r="O31" i="74" s="1"/>
  <c r="C22" i="59"/>
  <c r="C24" i="59" s="1"/>
  <c r="C26" i="59" s="1"/>
  <c r="O19" i="59"/>
  <c r="O22" i="59" s="1"/>
  <c r="O24" i="59" s="1"/>
  <c r="O26" i="59" s="1"/>
  <c r="O28" i="59" s="1"/>
  <c r="O29" i="59" s="1"/>
  <c r="O31" i="59" s="1"/>
  <c r="O31" i="58" l="1"/>
  <c r="P31" i="58" s="1"/>
  <c r="P32" i="58" s="1"/>
  <c r="P33" i="58" s="1"/>
  <c r="P35" i="58" s="1"/>
  <c r="O31" i="55"/>
  <c r="P31" i="55" s="1"/>
  <c r="Q31" i="55" s="1"/>
  <c r="Q32" i="55" s="1"/>
  <c r="Q33" i="55" s="1"/>
  <c r="P39" i="87"/>
  <c r="Q41" i="87"/>
  <c r="O31" i="56"/>
  <c r="P31" i="56" s="1"/>
  <c r="P32" i="56" s="1"/>
  <c r="P39" i="85"/>
  <c r="V5" i="29"/>
  <c r="P37" i="86"/>
  <c r="P36" i="86"/>
  <c r="P41" i="86" s="1"/>
  <c r="L36" i="3"/>
  <c r="P32" i="57"/>
  <c r="P35" i="57" s="1"/>
  <c r="Q31" i="57"/>
  <c r="Q32" i="57" s="1"/>
  <c r="Q35" i="57" s="1"/>
  <c r="Q36" i="57" s="1"/>
  <c r="Q41" i="57" s="1"/>
  <c r="O32" i="57"/>
  <c r="O33" i="57" s="1"/>
  <c r="O35" i="57" s="1"/>
  <c r="Q31" i="69"/>
  <c r="Q32" i="69" s="1"/>
  <c r="P32" i="69"/>
  <c r="Q31" i="76"/>
  <c r="Q32" i="76" s="1"/>
  <c r="Q35" i="76" s="1"/>
  <c r="Q36" i="76" s="1"/>
  <c r="Q41" i="76" s="1"/>
  <c r="P32" i="76"/>
  <c r="P35" i="76" s="1"/>
  <c r="P32" i="62"/>
  <c r="Q31" i="62"/>
  <c r="Q32" i="62" s="1"/>
  <c r="O32" i="62"/>
  <c r="O33" i="62" s="1"/>
  <c r="O35" i="62" s="1"/>
  <c r="Q31" i="68"/>
  <c r="Q32" i="68" s="1"/>
  <c r="P32" i="68"/>
  <c r="O32" i="68"/>
  <c r="O33" i="68" s="1"/>
  <c r="O35" i="68" s="1"/>
  <c r="P32" i="65"/>
  <c r="P35" i="65" s="1"/>
  <c r="Q31" i="65"/>
  <c r="Q32" i="65" s="1"/>
  <c r="Q35" i="65" s="1"/>
  <c r="Q36" i="65" s="1"/>
  <c r="Q41" i="65" s="1"/>
  <c r="P32" i="52"/>
  <c r="P35" i="52" s="1"/>
  <c r="Q31" i="52"/>
  <c r="Q32" i="52" s="1"/>
  <c r="Q35" i="52" s="1"/>
  <c r="Q36" i="52" s="1"/>
  <c r="Q41" i="52" s="1"/>
  <c r="Q31" i="50"/>
  <c r="Q32" i="50" s="1"/>
  <c r="Q35" i="50" s="1"/>
  <c r="Q36" i="50" s="1"/>
  <c r="Q41" i="50" s="1"/>
  <c r="P32" i="50"/>
  <c r="P35" i="50" s="1"/>
  <c r="O32" i="50"/>
  <c r="O35" i="50" s="1"/>
  <c r="Q31" i="79"/>
  <c r="Q32" i="79" s="1"/>
  <c r="P32" i="79"/>
  <c r="O32" i="79"/>
  <c r="O33" i="79" s="1"/>
  <c r="O35" i="79" s="1"/>
  <c r="O32" i="70"/>
  <c r="O33" i="70" s="1"/>
  <c r="O35" i="70" s="1"/>
  <c r="P32" i="70"/>
  <c r="P35" i="70" s="1"/>
  <c r="Q31" i="70"/>
  <c r="Q32" i="70" s="1"/>
  <c r="Q35" i="70" s="1"/>
  <c r="Q36" i="70" s="1"/>
  <c r="Q41" i="70" s="1"/>
  <c r="O32" i="51"/>
  <c r="O35" i="51" s="1"/>
  <c r="P32" i="51"/>
  <c r="P35" i="51" s="1"/>
  <c r="Q31" i="51"/>
  <c r="Q32" i="51" s="1"/>
  <c r="Q35" i="51" s="1"/>
  <c r="Q36" i="51" s="1"/>
  <c r="Q41" i="51" s="1"/>
  <c r="P32" i="72"/>
  <c r="P35" i="72" s="1"/>
  <c r="Q31" i="72"/>
  <c r="Q32" i="72" s="1"/>
  <c r="Q35" i="72" s="1"/>
  <c r="Q36" i="72" s="1"/>
  <c r="Q41" i="72" s="1"/>
  <c r="O32" i="72"/>
  <c r="O33" i="72" s="1"/>
  <c r="O35" i="72" s="1"/>
  <c r="P32" i="47"/>
  <c r="P33" i="47" s="1"/>
  <c r="Q31" i="47"/>
  <c r="Q32" i="47" s="1"/>
  <c r="O33" i="47"/>
  <c r="O35" i="47" s="1"/>
  <c r="O32" i="71"/>
  <c r="O33" i="71" s="1"/>
  <c r="O35" i="71" s="1"/>
  <c r="Q31" i="71"/>
  <c r="Q32" i="71" s="1"/>
  <c r="Q35" i="71" s="1"/>
  <c r="Q36" i="71" s="1"/>
  <c r="Q41" i="71" s="1"/>
  <c r="P32" i="71"/>
  <c r="P35" i="71" s="1"/>
  <c r="O32" i="53"/>
  <c r="O33" i="53" s="1"/>
  <c r="O35" i="53" s="1"/>
  <c r="Q31" i="53"/>
  <c r="Q32" i="53" s="1"/>
  <c r="Q35" i="53" s="1"/>
  <c r="Q36" i="53" s="1"/>
  <c r="Q41" i="53" s="1"/>
  <c r="P32" i="53"/>
  <c r="P35" i="53" s="1"/>
  <c r="P32" i="64"/>
  <c r="P33" i="64" s="1"/>
  <c r="P35" i="64" s="1"/>
  <c r="Q31" i="64"/>
  <c r="Q32" i="64" s="1"/>
  <c r="Q33" i="64" s="1"/>
  <c r="Q35" i="64" s="1"/>
  <c r="Q36" i="64" s="1"/>
  <c r="Q41" i="64" s="1"/>
  <c r="O32" i="64"/>
  <c r="O33" i="64" s="1"/>
  <c r="O35" i="64" s="1"/>
  <c r="O32" i="49"/>
  <c r="O33" i="49" s="1"/>
  <c r="O35" i="49" s="1"/>
  <c r="Q31" i="49"/>
  <c r="Q32" i="49" s="1"/>
  <c r="P32" i="49"/>
  <c r="Q31" i="63"/>
  <c r="Q32" i="63" s="1"/>
  <c r="Q33" i="63" s="1"/>
  <c r="Q35" i="63" s="1"/>
  <c r="Q36" i="63" s="1"/>
  <c r="Q41" i="63" s="1"/>
  <c r="P32" i="63"/>
  <c r="P33" i="63" s="1"/>
  <c r="P35" i="63" s="1"/>
  <c r="Q31" i="54"/>
  <c r="Q32" i="54" s="1"/>
  <c r="P32" i="54"/>
  <c r="O32" i="48"/>
  <c r="P32" i="66"/>
  <c r="P35" i="66" s="1"/>
  <c r="Q31" i="66"/>
  <c r="Q32" i="66" s="1"/>
  <c r="Q35" i="66" s="1"/>
  <c r="Q36" i="66" s="1"/>
  <c r="Q41" i="66" s="1"/>
  <c r="O32" i="83"/>
  <c r="O33" i="83" s="1"/>
  <c r="O35" i="83" s="1"/>
  <c r="P32" i="67"/>
  <c r="Q31" i="67"/>
  <c r="Q32" i="67" s="1"/>
  <c r="Q31" i="61"/>
  <c r="Q32" i="61" s="1"/>
  <c r="Q35" i="61" s="1"/>
  <c r="Q36" i="61" s="1"/>
  <c r="Q41" i="61" s="1"/>
  <c r="P32" i="61"/>
  <c r="P35" i="61" s="1"/>
  <c r="P32" i="81"/>
  <c r="Q31" i="81"/>
  <c r="Q32" i="81" s="1"/>
  <c r="Q31" i="48"/>
  <c r="Q32" i="48" s="1"/>
  <c r="P32" i="48"/>
  <c r="P32" i="83"/>
  <c r="Q31" i="83"/>
  <c r="Q32" i="83" s="1"/>
  <c r="O32" i="61"/>
  <c r="O33" i="61" s="1"/>
  <c r="O35" i="61" s="1"/>
  <c r="P32" i="60"/>
  <c r="P35" i="60" s="1"/>
  <c r="Q31" i="60"/>
  <c r="Q32" i="60" s="1"/>
  <c r="Q35" i="60" s="1"/>
  <c r="Q36" i="60" s="1"/>
  <c r="Q41" i="60" s="1"/>
  <c r="P32" i="73"/>
  <c r="Q31" i="73"/>
  <c r="Q32" i="73" s="1"/>
  <c r="O32" i="81"/>
  <c r="O33" i="81" s="1"/>
  <c r="O35" i="81" s="1"/>
  <c r="O32" i="63"/>
  <c r="O33" i="63" s="1"/>
  <c r="O35" i="63" s="1"/>
  <c r="R14" i="29"/>
  <c r="D41" i="84"/>
  <c r="Q37" i="59"/>
  <c r="P34" i="29"/>
  <c r="C41" i="53"/>
  <c r="C41" i="85"/>
  <c r="P59" i="29"/>
  <c r="X14" i="29"/>
  <c r="C32" i="88"/>
  <c r="C37" i="88" s="1"/>
  <c r="N34" i="29"/>
  <c r="N5" i="29"/>
  <c r="R7" i="29"/>
  <c r="P5" i="29"/>
  <c r="P35" i="59"/>
  <c r="V13" i="29"/>
  <c r="P35" i="75"/>
  <c r="V60" i="29"/>
  <c r="P35" i="82"/>
  <c r="V45" i="29"/>
  <c r="P35" i="80"/>
  <c r="V42" i="29"/>
  <c r="P35" i="77"/>
  <c r="V11" i="29"/>
  <c r="P35" i="78"/>
  <c r="V62" i="29"/>
  <c r="P35" i="74"/>
  <c r="V26" i="29"/>
  <c r="D41" i="70"/>
  <c r="P46" i="29"/>
  <c r="D41" i="83"/>
  <c r="P14" i="29"/>
  <c r="D41" i="57"/>
  <c r="P63" i="29"/>
  <c r="D41" i="54"/>
  <c r="P16" i="29"/>
  <c r="E41" i="83"/>
  <c r="D41" i="67"/>
  <c r="P20" i="29"/>
  <c r="C41" i="76"/>
  <c r="N59" i="29"/>
  <c r="F41" i="87"/>
  <c r="D41" i="85"/>
  <c r="D41" i="86"/>
  <c r="D41" i="89"/>
  <c r="C41" i="68"/>
  <c r="N54" i="29"/>
  <c r="T14" i="29"/>
  <c r="K26" i="82"/>
  <c r="K28" i="82" s="1"/>
  <c r="K29" i="82" s="1"/>
  <c r="K31" i="82" s="1"/>
  <c r="G26" i="82"/>
  <c r="G28" i="82" s="1"/>
  <c r="G29" i="82" s="1"/>
  <c r="G31" i="82" s="1"/>
  <c r="C26" i="82"/>
  <c r="C28" i="82" s="1"/>
  <c r="C29" i="82" s="1"/>
  <c r="C31" i="82" s="1"/>
  <c r="C32" i="82" s="1"/>
  <c r="N26" i="82"/>
  <c r="N28" i="82" s="1"/>
  <c r="N29" i="82" s="1"/>
  <c r="N31" i="82" s="1"/>
  <c r="J26" i="82"/>
  <c r="J28" i="82" s="1"/>
  <c r="J29" i="82" s="1"/>
  <c r="J31" i="82" s="1"/>
  <c r="F26" i="82"/>
  <c r="F28" i="82" s="1"/>
  <c r="F29" i="82" s="1"/>
  <c r="F31" i="82" s="1"/>
  <c r="M26" i="82"/>
  <c r="M28" i="82" s="1"/>
  <c r="M29" i="82" s="1"/>
  <c r="M31" i="82" s="1"/>
  <c r="I26" i="82"/>
  <c r="I28" i="82" s="1"/>
  <c r="I29" i="82" s="1"/>
  <c r="I31" i="82" s="1"/>
  <c r="E26" i="82"/>
  <c r="E28" i="82" s="1"/>
  <c r="E29" i="82" s="1"/>
  <c r="E31" i="82" s="1"/>
  <c r="L26" i="82"/>
  <c r="L28" i="82" s="1"/>
  <c r="L29" i="82" s="1"/>
  <c r="L31" i="82" s="1"/>
  <c r="H26" i="82"/>
  <c r="H28" i="82" s="1"/>
  <c r="H29" i="82" s="1"/>
  <c r="H31" i="82" s="1"/>
  <c r="D26" i="82"/>
  <c r="D28" i="82" s="1"/>
  <c r="D29" i="82" s="1"/>
  <c r="D31" i="82" s="1"/>
  <c r="K26" i="80"/>
  <c r="K28" i="80" s="1"/>
  <c r="K29" i="80" s="1"/>
  <c r="K31" i="80" s="1"/>
  <c r="G26" i="80"/>
  <c r="G28" i="80" s="1"/>
  <c r="G29" i="80" s="1"/>
  <c r="G31" i="80" s="1"/>
  <c r="C26" i="80"/>
  <c r="C28" i="80" s="1"/>
  <c r="C29" i="80" s="1"/>
  <c r="C31" i="80" s="1"/>
  <c r="C32" i="80" s="1"/>
  <c r="H26" i="80"/>
  <c r="H28" i="80" s="1"/>
  <c r="H29" i="80" s="1"/>
  <c r="H31" i="80" s="1"/>
  <c r="N26" i="80"/>
  <c r="N28" i="80" s="1"/>
  <c r="N29" i="80" s="1"/>
  <c r="N31" i="80" s="1"/>
  <c r="J26" i="80"/>
  <c r="J28" i="80" s="1"/>
  <c r="J29" i="80" s="1"/>
  <c r="J31" i="80" s="1"/>
  <c r="F26" i="80"/>
  <c r="F28" i="80" s="1"/>
  <c r="F29" i="80" s="1"/>
  <c r="F31" i="80" s="1"/>
  <c r="L26" i="80"/>
  <c r="L28" i="80" s="1"/>
  <c r="L29" i="80" s="1"/>
  <c r="L31" i="80" s="1"/>
  <c r="D26" i="80"/>
  <c r="D28" i="80" s="1"/>
  <c r="D29" i="80" s="1"/>
  <c r="D31" i="80" s="1"/>
  <c r="M26" i="80"/>
  <c r="M28" i="80" s="1"/>
  <c r="M29" i="80" s="1"/>
  <c r="M31" i="80" s="1"/>
  <c r="I26" i="80"/>
  <c r="I28" i="80" s="1"/>
  <c r="I29" i="80" s="1"/>
  <c r="I31" i="80" s="1"/>
  <c r="E26" i="80"/>
  <c r="E28" i="80" s="1"/>
  <c r="E29" i="80" s="1"/>
  <c r="E31" i="80" s="1"/>
  <c r="K26" i="78"/>
  <c r="K28" i="78" s="1"/>
  <c r="K29" i="78" s="1"/>
  <c r="K31" i="78" s="1"/>
  <c r="G26" i="78"/>
  <c r="G28" i="78" s="1"/>
  <c r="G29" i="78" s="1"/>
  <c r="G31" i="78" s="1"/>
  <c r="C26" i="78"/>
  <c r="C28" i="78" s="1"/>
  <c r="C29" i="78" s="1"/>
  <c r="C31" i="78" s="1"/>
  <c r="C32" i="78" s="1"/>
  <c r="N26" i="78"/>
  <c r="N28" i="78" s="1"/>
  <c r="N29" i="78" s="1"/>
  <c r="N31" i="78" s="1"/>
  <c r="J26" i="78"/>
  <c r="J28" i="78" s="1"/>
  <c r="J29" i="78" s="1"/>
  <c r="J31" i="78" s="1"/>
  <c r="F26" i="78"/>
  <c r="F28" i="78" s="1"/>
  <c r="F29" i="78" s="1"/>
  <c r="F31" i="78" s="1"/>
  <c r="M26" i="78"/>
  <c r="M28" i="78" s="1"/>
  <c r="M29" i="78" s="1"/>
  <c r="M31" i="78" s="1"/>
  <c r="I26" i="78"/>
  <c r="I28" i="78" s="1"/>
  <c r="I29" i="78" s="1"/>
  <c r="I31" i="78" s="1"/>
  <c r="E26" i="78"/>
  <c r="E28" i="78" s="1"/>
  <c r="E29" i="78" s="1"/>
  <c r="E31" i="78" s="1"/>
  <c r="L26" i="78"/>
  <c r="L28" i="78" s="1"/>
  <c r="L29" i="78" s="1"/>
  <c r="L31" i="78" s="1"/>
  <c r="D26" i="78"/>
  <c r="D28" i="78" s="1"/>
  <c r="D29" i="78" s="1"/>
  <c r="D31" i="78" s="1"/>
  <c r="D32" i="78" s="1"/>
  <c r="H26" i="78"/>
  <c r="H28" i="78" s="1"/>
  <c r="H29" i="78" s="1"/>
  <c r="H31" i="78" s="1"/>
  <c r="K26" i="77"/>
  <c r="K28" i="77" s="1"/>
  <c r="K29" i="77" s="1"/>
  <c r="K31" i="77" s="1"/>
  <c r="G26" i="77"/>
  <c r="G28" i="77" s="1"/>
  <c r="G29" i="77" s="1"/>
  <c r="G31" i="77" s="1"/>
  <c r="C26" i="77"/>
  <c r="C28" i="77" s="1"/>
  <c r="C29" i="77" s="1"/>
  <c r="C31" i="77" s="1"/>
  <c r="C32" i="77" s="1"/>
  <c r="M26" i="77"/>
  <c r="M28" i="77" s="1"/>
  <c r="M29" i="77" s="1"/>
  <c r="M31" i="77" s="1"/>
  <c r="E26" i="77"/>
  <c r="E28" i="77" s="1"/>
  <c r="E29" i="77" s="1"/>
  <c r="E31" i="77" s="1"/>
  <c r="L26" i="77"/>
  <c r="L28" i="77" s="1"/>
  <c r="L29" i="77" s="1"/>
  <c r="L31" i="77" s="1"/>
  <c r="D26" i="77"/>
  <c r="D28" i="77" s="1"/>
  <c r="D29" i="77" s="1"/>
  <c r="D31" i="77" s="1"/>
  <c r="D32" i="77" s="1"/>
  <c r="N26" i="77"/>
  <c r="N28" i="77" s="1"/>
  <c r="N29" i="77" s="1"/>
  <c r="N31" i="77" s="1"/>
  <c r="J26" i="77"/>
  <c r="J28" i="77" s="1"/>
  <c r="J29" i="77" s="1"/>
  <c r="J31" i="77" s="1"/>
  <c r="F26" i="77"/>
  <c r="F28" i="77" s="1"/>
  <c r="F29" i="77" s="1"/>
  <c r="F31" i="77" s="1"/>
  <c r="I26" i="77"/>
  <c r="I28" i="77" s="1"/>
  <c r="I29" i="77" s="1"/>
  <c r="I31" i="77" s="1"/>
  <c r="H26" i="77"/>
  <c r="H28" i="77" s="1"/>
  <c r="H29" i="77" s="1"/>
  <c r="H31" i="77" s="1"/>
  <c r="K26" i="75"/>
  <c r="K28" i="75" s="1"/>
  <c r="K29" i="75" s="1"/>
  <c r="K31" i="75" s="1"/>
  <c r="G26" i="75"/>
  <c r="G28" i="75" s="1"/>
  <c r="G29" i="75" s="1"/>
  <c r="G31" i="75" s="1"/>
  <c r="C26" i="75"/>
  <c r="C28" i="75" s="1"/>
  <c r="C29" i="75" s="1"/>
  <c r="C31" i="75" s="1"/>
  <c r="C32" i="75" s="1"/>
  <c r="L26" i="75"/>
  <c r="L28" i="75" s="1"/>
  <c r="L29" i="75" s="1"/>
  <c r="L31" i="75" s="1"/>
  <c r="N26" i="75"/>
  <c r="N28" i="75" s="1"/>
  <c r="N29" i="75" s="1"/>
  <c r="N31" i="75" s="1"/>
  <c r="J26" i="75"/>
  <c r="J28" i="75" s="1"/>
  <c r="J29" i="75" s="1"/>
  <c r="J31" i="75" s="1"/>
  <c r="F26" i="75"/>
  <c r="F28" i="75" s="1"/>
  <c r="F29" i="75" s="1"/>
  <c r="F31" i="75" s="1"/>
  <c r="D26" i="75"/>
  <c r="D28" i="75" s="1"/>
  <c r="D29" i="75" s="1"/>
  <c r="D31" i="75" s="1"/>
  <c r="M26" i="75"/>
  <c r="M28" i="75" s="1"/>
  <c r="M29" i="75" s="1"/>
  <c r="M31" i="75" s="1"/>
  <c r="I26" i="75"/>
  <c r="I28" i="75" s="1"/>
  <c r="I29" i="75" s="1"/>
  <c r="I31" i="75" s="1"/>
  <c r="E26" i="75"/>
  <c r="E28" i="75" s="1"/>
  <c r="E29" i="75" s="1"/>
  <c r="E31" i="75" s="1"/>
  <c r="H26" i="75"/>
  <c r="H28" i="75" s="1"/>
  <c r="H29" i="75" s="1"/>
  <c r="H31" i="75" s="1"/>
  <c r="K26" i="74"/>
  <c r="K28" i="74" s="1"/>
  <c r="K29" i="74" s="1"/>
  <c r="K31" i="74" s="1"/>
  <c r="G26" i="74"/>
  <c r="G28" i="74" s="1"/>
  <c r="G29" i="74" s="1"/>
  <c r="G31" i="74" s="1"/>
  <c r="C26" i="74"/>
  <c r="C28" i="74" s="1"/>
  <c r="C29" i="74" s="1"/>
  <c r="C31" i="74" s="1"/>
  <c r="C32" i="74" s="1"/>
  <c r="N26" i="74"/>
  <c r="N28" i="74" s="1"/>
  <c r="N29" i="74" s="1"/>
  <c r="N31" i="74" s="1"/>
  <c r="J26" i="74"/>
  <c r="J28" i="74" s="1"/>
  <c r="J29" i="74" s="1"/>
  <c r="J31" i="74" s="1"/>
  <c r="F26" i="74"/>
  <c r="F28" i="74" s="1"/>
  <c r="F29" i="74" s="1"/>
  <c r="F31" i="74" s="1"/>
  <c r="H26" i="74"/>
  <c r="H28" i="74" s="1"/>
  <c r="H29" i="74" s="1"/>
  <c r="H31" i="74" s="1"/>
  <c r="D26" i="74"/>
  <c r="D28" i="74" s="1"/>
  <c r="D29" i="74" s="1"/>
  <c r="D31" i="74" s="1"/>
  <c r="M26" i="74"/>
  <c r="M28" i="74" s="1"/>
  <c r="M29" i="74" s="1"/>
  <c r="M31" i="74" s="1"/>
  <c r="I26" i="74"/>
  <c r="I28" i="74" s="1"/>
  <c r="I29" i="74" s="1"/>
  <c r="I31" i="74" s="1"/>
  <c r="E26" i="74"/>
  <c r="E28" i="74" s="1"/>
  <c r="E29" i="74" s="1"/>
  <c r="E31" i="74" s="1"/>
  <c r="L26" i="74"/>
  <c r="L28" i="74" s="1"/>
  <c r="L29" i="74" s="1"/>
  <c r="L31" i="74" s="1"/>
  <c r="N26" i="59"/>
  <c r="N28" i="59" s="1"/>
  <c r="N29" i="59" s="1"/>
  <c r="N31" i="59" s="1"/>
  <c r="J26" i="59"/>
  <c r="J28" i="59" s="1"/>
  <c r="J29" i="59" s="1"/>
  <c r="J31" i="59" s="1"/>
  <c r="F26" i="59"/>
  <c r="F28" i="59" s="1"/>
  <c r="F29" i="59" s="1"/>
  <c r="F31" i="59" s="1"/>
  <c r="H26" i="59"/>
  <c r="H28" i="59" s="1"/>
  <c r="H29" i="59" s="1"/>
  <c r="H31" i="59" s="1"/>
  <c r="K26" i="59"/>
  <c r="K28" i="59" s="1"/>
  <c r="K29" i="59" s="1"/>
  <c r="K31" i="59" s="1"/>
  <c r="C28" i="59"/>
  <c r="C29" i="59" s="1"/>
  <c r="C31" i="59" s="1"/>
  <c r="C32" i="59" s="1"/>
  <c r="M26" i="59"/>
  <c r="M28" i="59" s="1"/>
  <c r="M29" i="59" s="1"/>
  <c r="M31" i="59" s="1"/>
  <c r="I26" i="59"/>
  <c r="I28" i="59" s="1"/>
  <c r="I29" i="59" s="1"/>
  <c r="I31" i="59" s="1"/>
  <c r="E26" i="59"/>
  <c r="E28" i="59" s="1"/>
  <c r="E29" i="59" s="1"/>
  <c r="E31" i="59" s="1"/>
  <c r="L26" i="59"/>
  <c r="L28" i="59" s="1"/>
  <c r="L29" i="59" s="1"/>
  <c r="L31" i="59" s="1"/>
  <c r="D26" i="59"/>
  <c r="D28" i="59" s="1"/>
  <c r="D29" i="59" s="1"/>
  <c r="D31" i="59" s="1"/>
  <c r="G26" i="59"/>
  <c r="G28" i="59" s="1"/>
  <c r="G29" i="59" s="1"/>
  <c r="G31" i="59" s="1"/>
  <c r="Q31" i="58" l="1"/>
  <c r="Q32" i="58" s="1"/>
  <c r="O32" i="58"/>
  <c r="O33" i="58" s="1"/>
  <c r="O35" i="58" s="1"/>
  <c r="N36" i="58" s="1"/>
  <c r="O36" i="58" s="1"/>
  <c r="P32" i="55"/>
  <c r="Q35" i="55"/>
  <c r="Q36" i="55" s="1"/>
  <c r="Q41" i="55" s="1"/>
  <c r="O32" i="55"/>
  <c r="P35" i="55"/>
  <c r="P33" i="56"/>
  <c r="P35" i="56" s="1"/>
  <c r="P36" i="56" s="1"/>
  <c r="P41" i="56" s="1"/>
  <c r="Q33" i="54"/>
  <c r="Q35" i="54" s="1"/>
  <c r="Q36" i="54" s="1"/>
  <c r="P33" i="54"/>
  <c r="P35" i="54" s="1"/>
  <c r="P37" i="54" s="1"/>
  <c r="Q33" i="83"/>
  <c r="Q35" i="83" s="1"/>
  <c r="Q36" i="83" s="1"/>
  <c r="Q41" i="83" s="1"/>
  <c r="P33" i="83"/>
  <c r="P35" i="83" s="1"/>
  <c r="P37" i="83" s="1"/>
  <c r="V14" i="29" s="1"/>
  <c r="Q33" i="73"/>
  <c r="Q35" i="73" s="1"/>
  <c r="Q36" i="73" s="1"/>
  <c r="Q41" i="73" s="1"/>
  <c r="P33" i="73"/>
  <c r="P35" i="73" s="1"/>
  <c r="P33" i="69"/>
  <c r="P35" i="69" s="1"/>
  <c r="Q33" i="69"/>
  <c r="Q35" i="69" s="1"/>
  <c r="Q36" i="69" s="1"/>
  <c r="Q41" i="69" s="1"/>
  <c r="Q33" i="62"/>
  <c r="Q35" i="62" s="1"/>
  <c r="Q36" i="62" s="1"/>
  <c r="Q41" i="62" s="1"/>
  <c r="P33" i="62"/>
  <c r="P35" i="62" s="1"/>
  <c r="P33" i="68"/>
  <c r="P35" i="68" s="1"/>
  <c r="Q33" i="68"/>
  <c r="Q35" i="68" s="1"/>
  <c r="Q36" i="68" s="1"/>
  <c r="Q41" i="68" s="1"/>
  <c r="P33" i="79"/>
  <c r="P35" i="79" s="1"/>
  <c r="Q33" i="79"/>
  <c r="Q35" i="79" s="1"/>
  <c r="Q36" i="79" s="1"/>
  <c r="Q41" i="79" s="1"/>
  <c r="P36" i="58"/>
  <c r="P41" i="58" s="1"/>
  <c r="Q33" i="49"/>
  <c r="Q35" i="49" s="1"/>
  <c r="Q36" i="49" s="1"/>
  <c r="Q41" i="49" s="1"/>
  <c r="P33" i="49"/>
  <c r="P35" i="49" s="1"/>
  <c r="Q31" i="56"/>
  <c r="Q32" i="56" s="1"/>
  <c r="O32" i="56"/>
  <c r="Q33" i="81"/>
  <c r="Q35" i="81" s="1"/>
  <c r="Q36" i="81" s="1"/>
  <c r="Q41" i="81" s="1"/>
  <c r="P33" i="81"/>
  <c r="P35" i="81" s="1"/>
  <c r="P37" i="81" s="1"/>
  <c r="Q33" i="67"/>
  <c r="Q35" i="67" s="1"/>
  <c r="Q36" i="67" s="1"/>
  <c r="Q41" i="67" s="1"/>
  <c r="P33" i="67"/>
  <c r="P35" i="67" s="1"/>
  <c r="O35" i="48"/>
  <c r="Q35" i="48"/>
  <c r="Q36" i="48" s="1"/>
  <c r="Q41" i="48" s="1"/>
  <c r="P35" i="48"/>
  <c r="P35" i="47"/>
  <c r="Q33" i="47"/>
  <c r="Q35" i="47" s="1"/>
  <c r="Q36" i="47" s="1"/>
  <c r="Q41" i="47" s="1"/>
  <c r="P39" i="86"/>
  <c r="V8" i="29"/>
  <c r="M36" i="3"/>
  <c r="R58" i="29"/>
  <c r="P36" i="57"/>
  <c r="P41" i="57" s="1"/>
  <c r="P37" i="57"/>
  <c r="P36" i="76"/>
  <c r="P41" i="76" s="1"/>
  <c r="P37" i="76"/>
  <c r="P41" i="65"/>
  <c r="P37" i="65"/>
  <c r="P36" i="52"/>
  <c r="P41" i="52" s="1"/>
  <c r="P37" i="52"/>
  <c r="P36" i="50"/>
  <c r="P41" i="50" s="1"/>
  <c r="P37" i="50"/>
  <c r="P36" i="70"/>
  <c r="P41" i="70" s="1"/>
  <c r="P37" i="70"/>
  <c r="P36" i="51"/>
  <c r="P41" i="51" s="1"/>
  <c r="P37" i="51"/>
  <c r="P36" i="72"/>
  <c r="P41" i="72" s="1"/>
  <c r="P37" i="72"/>
  <c r="P36" i="71"/>
  <c r="P41" i="71" s="1"/>
  <c r="P37" i="71"/>
  <c r="P36" i="53"/>
  <c r="P41" i="53" s="1"/>
  <c r="P37" i="53"/>
  <c r="P36" i="64"/>
  <c r="P41" i="64" s="1"/>
  <c r="P37" i="64"/>
  <c r="P37" i="60"/>
  <c r="P37" i="66"/>
  <c r="P36" i="63"/>
  <c r="P41" i="63" s="1"/>
  <c r="P37" i="63"/>
  <c r="X58" i="29"/>
  <c r="P37" i="61"/>
  <c r="P36" i="61"/>
  <c r="P41" i="61" s="1"/>
  <c r="X54" i="29"/>
  <c r="X8" i="29"/>
  <c r="X63" i="29"/>
  <c r="X46" i="29"/>
  <c r="X5" i="29"/>
  <c r="D32" i="80"/>
  <c r="D41" i="53"/>
  <c r="E41" i="84"/>
  <c r="D41" i="73"/>
  <c r="D32" i="74"/>
  <c r="E32" i="74" s="1"/>
  <c r="D32" i="75"/>
  <c r="E32" i="75" s="1"/>
  <c r="F32" i="75" s="1"/>
  <c r="E32" i="80"/>
  <c r="F32" i="80" s="1"/>
  <c r="G32" i="80" s="1"/>
  <c r="X42" i="29" s="1"/>
  <c r="D32" i="82"/>
  <c r="E32" i="82" s="1"/>
  <c r="F32" i="82" s="1"/>
  <c r="R5" i="29"/>
  <c r="D32" i="59"/>
  <c r="E32" i="59" s="1"/>
  <c r="F32" i="59" s="1"/>
  <c r="R8" i="29"/>
  <c r="N36" i="29"/>
  <c r="E41" i="76"/>
  <c r="D41" i="47"/>
  <c r="P36" i="29"/>
  <c r="C41" i="64"/>
  <c r="E32" i="77"/>
  <c r="F32" i="77" s="1"/>
  <c r="E32" i="78"/>
  <c r="F32" i="78" s="1"/>
  <c r="D32" i="88"/>
  <c r="E32" i="88" s="1"/>
  <c r="P32" i="29"/>
  <c r="P23" i="29"/>
  <c r="C41" i="47"/>
  <c r="R36" i="29"/>
  <c r="F41" i="84"/>
  <c r="N6" i="29"/>
  <c r="E41" i="85"/>
  <c r="E41" i="86"/>
  <c r="E41" i="89"/>
  <c r="P35" i="29"/>
  <c r="T5" i="29"/>
  <c r="T8" i="29"/>
  <c r="D41" i="76"/>
  <c r="C41" i="58"/>
  <c r="N38" i="29"/>
  <c r="D41" i="68"/>
  <c r="P54" i="29"/>
  <c r="D41" i="69"/>
  <c r="P61" i="29"/>
  <c r="F41" i="89"/>
  <c r="T58" i="29"/>
  <c r="C37" i="77"/>
  <c r="N11" i="29"/>
  <c r="D37" i="78"/>
  <c r="P62" i="29"/>
  <c r="C37" i="78"/>
  <c r="N62" i="29"/>
  <c r="C41" i="79"/>
  <c r="N47" i="29"/>
  <c r="C37" i="80"/>
  <c r="N42" i="29"/>
  <c r="D41" i="60"/>
  <c r="C41" i="63"/>
  <c r="N29" i="29"/>
  <c r="C41" i="61"/>
  <c r="N23" i="29"/>
  <c r="C41" i="52"/>
  <c r="N50" i="29"/>
  <c r="C37" i="75"/>
  <c r="N60" i="29"/>
  <c r="C41" i="73"/>
  <c r="N12" i="29"/>
  <c r="E41" i="70"/>
  <c r="R46" i="29"/>
  <c r="E41" i="67"/>
  <c r="R20" i="29"/>
  <c r="E41" i="57"/>
  <c r="R63" i="29"/>
  <c r="T16" i="29"/>
  <c r="E41" i="54"/>
  <c r="R16" i="29"/>
  <c r="F41" i="83"/>
  <c r="C41" i="81"/>
  <c r="N22" i="29"/>
  <c r="C37" i="82"/>
  <c r="N45" i="29"/>
  <c r="F41" i="54"/>
  <c r="F41" i="85"/>
  <c r="G41" i="87"/>
  <c r="Z43" i="29"/>
  <c r="F41" i="86"/>
  <c r="T63" i="29"/>
  <c r="C41" i="56"/>
  <c r="N25" i="29"/>
  <c r="C37" i="74"/>
  <c r="N26" i="29"/>
  <c r="C41" i="48"/>
  <c r="N18" i="29"/>
  <c r="C41" i="72"/>
  <c r="N37" i="29"/>
  <c r="C41" i="71"/>
  <c r="N35" i="29"/>
  <c r="C41" i="69"/>
  <c r="N61" i="29"/>
  <c r="C41" i="66"/>
  <c r="N21" i="29"/>
  <c r="C41" i="62"/>
  <c r="N55" i="29"/>
  <c r="C41" i="60"/>
  <c r="N15" i="29"/>
  <c r="C37" i="59"/>
  <c r="N13" i="29"/>
  <c r="C41" i="55"/>
  <c r="N27" i="29"/>
  <c r="C41" i="51"/>
  <c r="N44" i="29"/>
  <c r="C41" i="50"/>
  <c r="N49" i="29"/>
  <c r="C41" i="49"/>
  <c r="N32" i="29"/>
  <c r="T20" i="29"/>
  <c r="T46" i="29"/>
  <c r="P37" i="48" l="1"/>
  <c r="V18" i="29" s="1"/>
  <c r="Q33" i="58"/>
  <c r="Q35" i="58" s="1"/>
  <c r="O35" i="55"/>
  <c r="P37" i="55"/>
  <c r="P39" i="55" s="1"/>
  <c r="P36" i="55"/>
  <c r="P41" i="55" s="1"/>
  <c r="O33" i="56"/>
  <c r="O35" i="56" s="1"/>
  <c r="Q35" i="56"/>
  <c r="X16" i="29"/>
  <c r="Q41" i="54"/>
  <c r="P37" i="73"/>
  <c r="P39" i="73" s="1"/>
  <c r="V12" i="29"/>
  <c r="P36" i="69"/>
  <c r="P41" i="69" s="1"/>
  <c r="P37" i="69"/>
  <c r="P36" i="62"/>
  <c r="P41" i="62" s="1"/>
  <c r="P37" i="62"/>
  <c r="P36" i="68"/>
  <c r="P41" i="68" s="1"/>
  <c r="P37" i="68"/>
  <c r="P36" i="79"/>
  <c r="P41" i="79" s="1"/>
  <c r="P37" i="79"/>
  <c r="P37" i="47"/>
  <c r="P39" i="47" s="1"/>
  <c r="P36" i="49"/>
  <c r="P41" i="49" s="1"/>
  <c r="P37" i="49"/>
  <c r="P39" i="49" s="1"/>
  <c r="P39" i="81"/>
  <c r="V22" i="29"/>
  <c r="P37" i="67"/>
  <c r="P39" i="48"/>
  <c r="P36" i="48"/>
  <c r="P41" i="48" s="1"/>
  <c r="P36" i="47"/>
  <c r="P41" i="47" s="1"/>
  <c r="P39" i="57"/>
  <c r="V63" i="29"/>
  <c r="P39" i="69"/>
  <c r="V61" i="29"/>
  <c r="P39" i="76"/>
  <c r="V59" i="29"/>
  <c r="V55" i="29"/>
  <c r="P39" i="62"/>
  <c r="V54" i="29"/>
  <c r="P39" i="68"/>
  <c r="P39" i="65"/>
  <c r="V51" i="29"/>
  <c r="V50" i="29"/>
  <c r="P39" i="52"/>
  <c r="V49" i="29"/>
  <c r="P39" i="50"/>
  <c r="P39" i="79"/>
  <c r="V47" i="29"/>
  <c r="P39" i="70"/>
  <c r="V46" i="29"/>
  <c r="V44" i="29"/>
  <c r="P39" i="51"/>
  <c r="P39" i="72"/>
  <c r="V37" i="29"/>
  <c r="V36" i="29"/>
  <c r="V35" i="29"/>
  <c r="P39" i="71"/>
  <c r="V34" i="29"/>
  <c r="P39" i="53"/>
  <c r="P39" i="64"/>
  <c r="V33" i="29"/>
  <c r="V32" i="29"/>
  <c r="V20" i="29"/>
  <c r="P39" i="67"/>
  <c r="P39" i="60"/>
  <c r="V15" i="29"/>
  <c r="P39" i="83"/>
  <c r="V29" i="29"/>
  <c r="P39" i="63"/>
  <c r="P39" i="61"/>
  <c r="V23" i="29"/>
  <c r="V21" i="29"/>
  <c r="P39" i="66"/>
  <c r="P39" i="54"/>
  <c r="V16" i="29"/>
  <c r="X18" i="29"/>
  <c r="R34" i="29"/>
  <c r="G32" i="82"/>
  <c r="X45" i="29" s="1"/>
  <c r="X12" i="29"/>
  <c r="X15" i="29"/>
  <c r="X37" i="29"/>
  <c r="X34" i="29"/>
  <c r="X7" i="29"/>
  <c r="G32" i="78"/>
  <c r="X62" i="29" s="1"/>
  <c r="X35" i="29"/>
  <c r="X38" i="29"/>
  <c r="X22" i="29"/>
  <c r="G32" i="75"/>
  <c r="X60" i="29" s="1"/>
  <c r="X61" i="29"/>
  <c r="E41" i="53"/>
  <c r="T34" i="29"/>
  <c r="F41" i="53"/>
  <c r="D41" i="49"/>
  <c r="F32" i="74"/>
  <c r="G32" i="74" s="1"/>
  <c r="X26" i="29" s="1"/>
  <c r="D37" i="75"/>
  <c r="P6" i="29"/>
  <c r="E41" i="47"/>
  <c r="P38" i="29"/>
  <c r="D41" i="64"/>
  <c r="G32" i="59"/>
  <c r="H32" i="80"/>
  <c r="I32" i="80" s="1"/>
  <c r="R59" i="29"/>
  <c r="F41" i="76"/>
  <c r="D41" i="58"/>
  <c r="T7" i="29"/>
  <c r="T27" i="29"/>
  <c r="T36" i="29"/>
  <c r="X47" i="29"/>
  <c r="R51" i="29"/>
  <c r="N33" i="29"/>
  <c r="X55" i="29"/>
  <c r="R25" i="29"/>
  <c r="G32" i="77"/>
  <c r="X11" i="29" s="1"/>
  <c r="R49" i="29"/>
  <c r="R50" i="29"/>
  <c r="F32" i="88"/>
  <c r="G32" i="88" s="1"/>
  <c r="X6" i="29" s="1"/>
  <c r="D37" i="88"/>
  <c r="T21" i="29"/>
  <c r="R38" i="29"/>
  <c r="D41" i="71"/>
  <c r="P12" i="29"/>
  <c r="P60" i="29"/>
  <c r="R12" i="29"/>
  <c r="R60" i="29"/>
  <c r="D41" i="61"/>
  <c r="R6" i="29"/>
  <c r="E37" i="88"/>
  <c r="H41" i="87"/>
  <c r="N51" i="29"/>
  <c r="C41" i="65"/>
  <c r="D41" i="79"/>
  <c r="P47" i="29"/>
  <c r="D41" i="66"/>
  <c r="P21" i="29"/>
  <c r="D41" i="72"/>
  <c r="P37" i="29"/>
  <c r="D37" i="77"/>
  <c r="P11" i="29"/>
  <c r="D37" i="74"/>
  <c r="P26" i="29"/>
  <c r="R26" i="29"/>
  <c r="D37" i="80"/>
  <c r="P42" i="29"/>
  <c r="G41" i="83"/>
  <c r="E41" i="60"/>
  <c r="P15" i="29"/>
  <c r="D41" i="63"/>
  <c r="P29" i="29"/>
  <c r="D41" i="62"/>
  <c r="P55" i="29"/>
  <c r="D41" i="56"/>
  <c r="P25" i="29"/>
  <c r="D41" i="55"/>
  <c r="P27" i="29"/>
  <c r="D41" i="52"/>
  <c r="P50" i="29"/>
  <c r="D41" i="51"/>
  <c r="P44" i="29"/>
  <c r="D41" i="50"/>
  <c r="P49" i="29"/>
  <c r="D41" i="48"/>
  <c r="P18" i="29"/>
  <c r="D37" i="59"/>
  <c r="P13" i="29"/>
  <c r="G41" i="54"/>
  <c r="E37" i="82"/>
  <c r="R45" i="29"/>
  <c r="E37" i="78"/>
  <c r="R62" i="29"/>
  <c r="E37" i="75"/>
  <c r="E41" i="73"/>
  <c r="E41" i="71"/>
  <c r="R35" i="29"/>
  <c r="E41" i="69"/>
  <c r="R61" i="29"/>
  <c r="E41" i="66"/>
  <c r="R21" i="29"/>
  <c r="E41" i="68"/>
  <c r="R54" i="29"/>
  <c r="E41" i="62"/>
  <c r="R55" i="29"/>
  <c r="E41" i="51"/>
  <c r="R44" i="29"/>
  <c r="D41" i="81"/>
  <c r="P22" i="29"/>
  <c r="D37" i="82"/>
  <c r="P45" i="29"/>
  <c r="T45" i="29"/>
  <c r="E37" i="59"/>
  <c r="R13" i="29"/>
  <c r="E41" i="58"/>
  <c r="G41" i="89"/>
  <c r="G41" i="85"/>
  <c r="G41" i="86"/>
  <c r="Z8" i="29"/>
  <c r="T18" i="29"/>
  <c r="F41" i="57"/>
  <c r="T61" i="29"/>
  <c r="T54" i="29"/>
  <c r="T35" i="29"/>
  <c r="F41" i="67"/>
  <c r="Z14" i="29"/>
  <c r="R42" i="29"/>
  <c r="F41" i="70"/>
  <c r="T13" i="29"/>
  <c r="T38" i="29"/>
  <c r="Q36" i="58" l="1"/>
  <c r="Q41" i="58" s="1"/>
  <c r="P37" i="58"/>
  <c r="V27" i="29"/>
  <c r="Q36" i="56"/>
  <c r="Q41" i="56" s="1"/>
  <c r="P37" i="56"/>
  <c r="G41" i="53"/>
  <c r="H32" i="82"/>
  <c r="I32" i="82" s="1"/>
  <c r="J32" i="82" s="1"/>
  <c r="H32" i="59"/>
  <c r="X13" i="29"/>
  <c r="X32" i="29"/>
  <c r="X36" i="29"/>
  <c r="H32" i="75"/>
  <c r="X23" i="29"/>
  <c r="X44" i="29"/>
  <c r="X59" i="29"/>
  <c r="X21" i="29"/>
  <c r="X27" i="29"/>
  <c r="E41" i="52"/>
  <c r="H32" i="74"/>
  <c r="I32" i="74" s="1"/>
  <c r="Z5" i="29"/>
  <c r="P33" i="29"/>
  <c r="R29" i="29"/>
  <c r="R23" i="29"/>
  <c r="E41" i="61"/>
  <c r="T55" i="29"/>
  <c r="E41" i="55"/>
  <c r="F41" i="47"/>
  <c r="R27" i="29"/>
  <c r="G41" i="84"/>
  <c r="I32" i="59"/>
  <c r="J32" i="59" s="1"/>
  <c r="K32" i="59" s="1"/>
  <c r="L32" i="59" s="1"/>
  <c r="T59" i="29"/>
  <c r="G41" i="76"/>
  <c r="J32" i="80"/>
  <c r="Z7" i="29"/>
  <c r="T44" i="29"/>
  <c r="H32" i="88"/>
  <c r="I32" i="88" s="1"/>
  <c r="K32" i="82"/>
  <c r="L32" i="82" s="1"/>
  <c r="M32" i="82" s="1"/>
  <c r="T50" i="29"/>
  <c r="H32" i="77"/>
  <c r="I32" i="77" s="1"/>
  <c r="X49" i="29"/>
  <c r="X25" i="29"/>
  <c r="T51" i="29"/>
  <c r="H32" i="78"/>
  <c r="I32" i="78" s="1"/>
  <c r="T23" i="29"/>
  <c r="T12" i="29"/>
  <c r="T60" i="29"/>
  <c r="T15" i="29"/>
  <c r="H41" i="89"/>
  <c r="Z58" i="29"/>
  <c r="T6" i="29"/>
  <c r="F37" i="88"/>
  <c r="R15" i="29"/>
  <c r="H41" i="54"/>
  <c r="Z16" i="29"/>
  <c r="I41" i="87"/>
  <c r="AB43" i="29"/>
  <c r="H41" i="85"/>
  <c r="H41" i="86"/>
  <c r="G37" i="82"/>
  <c r="D41" i="65"/>
  <c r="P51" i="29"/>
  <c r="G41" i="70"/>
  <c r="T22" i="29"/>
  <c r="R22" i="29"/>
  <c r="E41" i="79"/>
  <c r="R47" i="29"/>
  <c r="F37" i="78"/>
  <c r="T62" i="29"/>
  <c r="E37" i="77"/>
  <c r="R11" i="29"/>
  <c r="F37" i="77"/>
  <c r="T11" i="29"/>
  <c r="E41" i="72"/>
  <c r="R37" i="29"/>
  <c r="E41" i="49"/>
  <c r="R32" i="29"/>
  <c r="F37" i="82"/>
  <c r="F37" i="75"/>
  <c r="F41" i="71"/>
  <c r="F41" i="69"/>
  <c r="F41" i="68"/>
  <c r="F41" i="66"/>
  <c r="F41" i="62"/>
  <c r="F41" i="55"/>
  <c r="E41" i="48"/>
  <c r="R18" i="29"/>
  <c r="AB58" i="29"/>
  <c r="AB8" i="29"/>
  <c r="H41" i="84"/>
  <c r="T37" i="29"/>
  <c r="T32" i="29"/>
  <c r="G41" i="57"/>
  <c r="E41" i="81"/>
  <c r="G41" i="67"/>
  <c r="AB14" i="29"/>
  <c r="H41" i="83"/>
  <c r="E37" i="80"/>
  <c r="T42" i="29"/>
  <c r="T47" i="29"/>
  <c r="G37" i="75"/>
  <c r="E37" i="74"/>
  <c r="F41" i="73"/>
  <c r="E41" i="65"/>
  <c r="E41" i="56"/>
  <c r="E41" i="63"/>
  <c r="T29" i="29"/>
  <c r="F41" i="61"/>
  <c r="F37" i="59"/>
  <c r="F41" i="58"/>
  <c r="F41" i="51"/>
  <c r="E41" i="50"/>
  <c r="F41" i="48"/>
  <c r="V38" i="29" l="1"/>
  <c r="P39" i="58"/>
  <c r="P39" i="56"/>
  <c r="V25" i="29"/>
  <c r="Z34" i="29"/>
  <c r="H41" i="53"/>
  <c r="X29" i="29"/>
  <c r="R33" i="29"/>
  <c r="X50" i="29"/>
  <c r="I32" i="75"/>
  <c r="J32" i="75" s="1"/>
  <c r="AD60" i="29" s="1"/>
  <c r="J32" i="74"/>
  <c r="K32" i="74" s="1"/>
  <c r="J32" i="88"/>
  <c r="K32" i="88" s="1"/>
  <c r="L32" i="88" s="1"/>
  <c r="M32" i="88" s="1"/>
  <c r="N32" i="88" s="1"/>
  <c r="O32" i="88" s="1"/>
  <c r="X33" i="29"/>
  <c r="E41" i="64"/>
  <c r="T49" i="29"/>
  <c r="M32" i="59"/>
  <c r="N32" i="59" s="1"/>
  <c r="O32" i="59" s="1"/>
  <c r="J32" i="77"/>
  <c r="K32" i="77" s="1"/>
  <c r="K32" i="80"/>
  <c r="L32" i="80" s="1"/>
  <c r="M32" i="80" s="1"/>
  <c r="AB59" i="29"/>
  <c r="F41" i="52"/>
  <c r="L32" i="74"/>
  <c r="M32" i="74" s="1"/>
  <c r="N32" i="74" s="1"/>
  <c r="O32" i="74" s="1"/>
  <c r="N32" i="82"/>
  <c r="O32" i="82" s="1"/>
  <c r="J32" i="78"/>
  <c r="K32" i="78" s="1"/>
  <c r="L32" i="78" s="1"/>
  <c r="M32" i="78" s="1"/>
  <c r="N32" i="78" s="1"/>
  <c r="O32" i="78" s="1"/>
  <c r="F41" i="60"/>
  <c r="J41" i="87"/>
  <c r="AD43" i="29"/>
  <c r="I41" i="70"/>
  <c r="Z46" i="29"/>
  <c r="G37" i="88"/>
  <c r="H37" i="82"/>
  <c r="Z45" i="29"/>
  <c r="I41" i="84"/>
  <c r="AB7" i="29"/>
  <c r="H37" i="75"/>
  <c r="Z60" i="29"/>
  <c r="H41" i="67"/>
  <c r="Z20" i="29"/>
  <c r="H41" i="57"/>
  <c r="Z63" i="29"/>
  <c r="I41" i="53"/>
  <c r="AB34" i="29"/>
  <c r="I41" i="54"/>
  <c r="AB16" i="29"/>
  <c r="I41" i="85"/>
  <c r="AB5" i="29"/>
  <c r="AD5" i="29"/>
  <c r="G37" i="78"/>
  <c r="G41" i="71"/>
  <c r="H41" i="70"/>
  <c r="G41" i="69"/>
  <c r="G41" i="62"/>
  <c r="G41" i="55"/>
  <c r="G41" i="51"/>
  <c r="G41" i="60"/>
  <c r="G41" i="48"/>
  <c r="G37" i="59"/>
  <c r="G41" i="81"/>
  <c r="F41" i="81"/>
  <c r="T26" i="29"/>
  <c r="F41" i="56"/>
  <c r="T25" i="29"/>
  <c r="Z62" i="29"/>
  <c r="Z42" i="29"/>
  <c r="F41" i="79"/>
  <c r="F41" i="72"/>
  <c r="F41" i="65"/>
  <c r="F41" i="49"/>
  <c r="I41" i="89"/>
  <c r="AD58" i="29"/>
  <c r="I41" i="86"/>
  <c r="G41" i="68"/>
  <c r="AB20" i="29"/>
  <c r="I41" i="83"/>
  <c r="AD14" i="29"/>
  <c r="F37" i="80"/>
  <c r="G37" i="77"/>
  <c r="F37" i="74"/>
  <c r="G41" i="73"/>
  <c r="G41" i="66"/>
  <c r="F41" i="63"/>
  <c r="G41" i="61"/>
  <c r="Z13" i="29"/>
  <c r="G41" i="58"/>
  <c r="F41" i="50"/>
  <c r="G41" i="52" l="1"/>
  <c r="Z44" i="29"/>
  <c r="X51" i="29"/>
  <c r="X20" i="29"/>
  <c r="K32" i="75"/>
  <c r="L32" i="75" s="1"/>
  <c r="M32" i="75" s="1"/>
  <c r="N32" i="75" s="1"/>
  <c r="O32" i="75" s="1"/>
  <c r="H41" i="76"/>
  <c r="T33" i="29"/>
  <c r="F41" i="64"/>
  <c r="L32" i="77"/>
  <c r="M32" i="77" s="1"/>
  <c r="N32" i="77" s="1"/>
  <c r="O32" i="77" s="1"/>
  <c r="Z59" i="29"/>
  <c r="N32" i="80"/>
  <c r="O32" i="80" s="1"/>
  <c r="J41" i="84"/>
  <c r="AD7" i="29"/>
  <c r="AD34" i="29"/>
  <c r="J41" i="86"/>
  <c r="AD8" i="29"/>
  <c r="K41" i="87"/>
  <c r="AF43" i="29"/>
  <c r="AF16" i="29"/>
  <c r="AD16" i="29"/>
  <c r="J41" i="85"/>
  <c r="Z27" i="29"/>
  <c r="Z35" i="29"/>
  <c r="H41" i="73"/>
  <c r="Z12" i="29"/>
  <c r="I41" i="73"/>
  <c r="AB12" i="29"/>
  <c r="AB54" i="29"/>
  <c r="Z54" i="29"/>
  <c r="H37" i="77"/>
  <c r="Z11" i="29"/>
  <c r="Z6" i="29"/>
  <c r="H37" i="88"/>
  <c r="Z23" i="29"/>
  <c r="H41" i="48"/>
  <c r="Z18" i="29"/>
  <c r="AB26" i="29"/>
  <c r="Z26" i="29"/>
  <c r="I37" i="77"/>
  <c r="AB11" i="29"/>
  <c r="Z15" i="29"/>
  <c r="H41" i="58"/>
  <c r="Z38" i="29"/>
  <c r="H41" i="66"/>
  <c r="Z21" i="29"/>
  <c r="I37" i="82"/>
  <c r="AB45" i="29"/>
  <c r="AD63" i="29"/>
  <c r="AB63" i="29"/>
  <c r="H41" i="62"/>
  <c r="Z55" i="29"/>
  <c r="H41" i="69"/>
  <c r="Z61" i="29"/>
  <c r="I37" i="75"/>
  <c r="AB60" i="29"/>
  <c r="AD46" i="29"/>
  <c r="AB46" i="29"/>
  <c r="I41" i="57"/>
  <c r="H41" i="68"/>
  <c r="J41" i="54"/>
  <c r="J41" i="53"/>
  <c r="G41" i="72"/>
  <c r="G37" i="80"/>
  <c r="H41" i="55"/>
  <c r="G41" i="79"/>
  <c r="G41" i="65"/>
  <c r="G41" i="50"/>
  <c r="G37" i="74"/>
  <c r="G41" i="49"/>
  <c r="G41" i="56"/>
  <c r="I41" i="76"/>
  <c r="Z37" i="29"/>
  <c r="H37" i="78"/>
  <c r="AB62" i="29"/>
  <c r="H41" i="51"/>
  <c r="AB44" i="29"/>
  <c r="H41" i="71"/>
  <c r="J41" i="89"/>
  <c r="AF58" i="29"/>
  <c r="AF8" i="29"/>
  <c r="J41" i="57"/>
  <c r="AF63" i="29"/>
  <c r="I41" i="68"/>
  <c r="I41" i="67"/>
  <c r="Z51" i="29"/>
  <c r="J41" i="83"/>
  <c r="AF14" i="29"/>
  <c r="H37" i="80"/>
  <c r="J37" i="75"/>
  <c r="AF60" i="29"/>
  <c r="I37" i="74"/>
  <c r="AD26" i="29"/>
  <c r="H37" i="74"/>
  <c r="H41" i="60"/>
  <c r="AD15" i="29"/>
  <c r="K41" i="54"/>
  <c r="G41" i="63"/>
  <c r="H41" i="61"/>
  <c r="H37" i="59"/>
  <c r="Z49" i="29"/>
  <c r="AH16" i="29" l="1"/>
  <c r="Z50" i="29"/>
  <c r="AD59" i="29"/>
  <c r="H41" i="52"/>
  <c r="G41" i="64"/>
  <c r="J41" i="68"/>
  <c r="J41" i="61"/>
  <c r="AD23" i="29"/>
  <c r="J41" i="73"/>
  <c r="AD12" i="29"/>
  <c r="AD54" i="29"/>
  <c r="L41" i="87"/>
  <c r="AH43" i="29"/>
  <c r="J41" i="67"/>
  <c r="AD20" i="29"/>
  <c r="AF35" i="29"/>
  <c r="AD35" i="29"/>
  <c r="J37" i="77"/>
  <c r="AD11" i="29"/>
  <c r="K37" i="82"/>
  <c r="AF45" i="29"/>
  <c r="J41" i="55"/>
  <c r="AD27" i="29"/>
  <c r="AH34" i="29"/>
  <c r="K41" i="84"/>
  <c r="AF7" i="29"/>
  <c r="K41" i="85"/>
  <c r="AF5" i="29"/>
  <c r="J37" i="82"/>
  <c r="AD45" i="29"/>
  <c r="K41" i="53"/>
  <c r="AF34" i="29"/>
  <c r="H41" i="81"/>
  <c r="Z22" i="29"/>
  <c r="I41" i="62"/>
  <c r="AB55" i="29"/>
  <c r="H41" i="63"/>
  <c r="Z29" i="29"/>
  <c r="I41" i="66"/>
  <c r="AB21" i="29"/>
  <c r="I41" i="69"/>
  <c r="AB61" i="29"/>
  <c r="J41" i="70"/>
  <c r="AF46" i="29"/>
  <c r="I41" i="71"/>
  <c r="AB35" i="29"/>
  <c r="I41" i="52"/>
  <c r="AB50" i="29"/>
  <c r="I37" i="80"/>
  <c r="AB42" i="29"/>
  <c r="I41" i="48"/>
  <c r="AB18" i="29"/>
  <c r="H41" i="56"/>
  <c r="Z25" i="29"/>
  <c r="I41" i="60"/>
  <c r="AB15" i="29"/>
  <c r="I41" i="61"/>
  <c r="AB23" i="29"/>
  <c r="H41" i="79"/>
  <c r="Z47" i="29"/>
  <c r="Z32" i="29"/>
  <c r="AD6" i="29"/>
  <c r="I37" i="88"/>
  <c r="AB6" i="29"/>
  <c r="I41" i="55"/>
  <c r="AB27" i="29"/>
  <c r="I37" i="59"/>
  <c r="AB13" i="29"/>
  <c r="I41" i="58"/>
  <c r="AB38" i="29"/>
  <c r="H41" i="50"/>
  <c r="K37" i="75"/>
  <c r="K41" i="71"/>
  <c r="L41" i="53"/>
  <c r="AH45" i="29"/>
  <c r="I41" i="63"/>
  <c r="AF59" i="29"/>
  <c r="J41" i="76"/>
  <c r="H41" i="72"/>
  <c r="AB37" i="29"/>
  <c r="I37" i="78"/>
  <c r="AD62" i="29"/>
  <c r="I41" i="51"/>
  <c r="AD44" i="29"/>
  <c r="L37" i="82"/>
  <c r="AJ45" i="29"/>
  <c r="J41" i="71"/>
  <c r="K41" i="89"/>
  <c r="AH58" i="29"/>
  <c r="K41" i="86"/>
  <c r="H41" i="49"/>
  <c r="AF23" i="29"/>
  <c r="K41" i="57"/>
  <c r="AH63" i="29"/>
  <c r="H41" i="65"/>
  <c r="AB51" i="29"/>
  <c r="K41" i="83"/>
  <c r="AH14" i="29"/>
  <c r="AD42" i="29"/>
  <c r="J37" i="74"/>
  <c r="AF26" i="29"/>
  <c r="AF12" i="29"/>
  <c r="AD21" i="29"/>
  <c r="J41" i="60"/>
  <c r="L41" i="54"/>
  <c r="Z33" i="29" l="1"/>
  <c r="H41" i="64"/>
  <c r="AH15" i="29"/>
  <c r="AF15" i="29"/>
  <c r="L37" i="75"/>
  <c r="AH60" i="29"/>
  <c r="K41" i="68"/>
  <c r="AF54" i="29"/>
  <c r="J41" i="58"/>
  <c r="AD38" i="29"/>
  <c r="AL43" i="29"/>
  <c r="AJ43" i="29"/>
  <c r="L37" i="77"/>
  <c r="AH11" i="29"/>
  <c r="AD61" i="29"/>
  <c r="J41" i="49"/>
  <c r="AD32" i="29"/>
  <c r="J41" i="62"/>
  <c r="AD55" i="29"/>
  <c r="K41" i="55"/>
  <c r="AF27" i="29"/>
  <c r="K37" i="77"/>
  <c r="AF11" i="29"/>
  <c r="AJ7" i="29"/>
  <c r="J37" i="59"/>
  <c r="AD13" i="29"/>
  <c r="K41" i="67"/>
  <c r="AF20" i="29"/>
  <c r="J41" i="52"/>
  <c r="AD50" i="29"/>
  <c r="L41" i="84"/>
  <c r="AD18" i="29"/>
  <c r="AJ35" i="29"/>
  <c r="AH35" i="29"/>
  <c r="M41" i="54"/>
  <c r="AJ16" i="29"/>
  <c r="L41" i="85"/>
  <c r="N41" i="53"/>
  <c r="AL34" i="29"/>
  <c r="M41" i="53"/>
  <c r="AJ34" i="29"/>
  <c r="AH27" i="29"/>
  <c r="I41" i="81"/>
  <c r="AB22" i="29"/>
  <c r="I41" i="49"/>
  <c r="AB32" i="29"/>
  <c r="AB49" i="29"/>
  <c r="AB29" i="29"/>
  <c r="K41" i="70"/>
  <c r="I41" i="79"/>
  <c r="AB47" i="29"/>
  <c r="J37" i="88"/>
  <c r="AF6" i="29"/>
  <c r="I41" i="56"/>
  <c r="AB25" i="29"/>
  <c r="O41" i="53"/>
  <c r="K41" i="76"/>
  <c r="K41" i="61"/>
  <c r="AJ5" i="29"/>
  <c r="J41" i="69"/>
  <c r="L41" i="57"/>
  <c r="M41" i="87"/>
  <c r="I41" i="72"/>
  <c r="AD37" i="29"/>
  <c r="J41" i="48"/>
  <c r="J37" i="78"/>
  <c r="AF62" i="29"/>
  <c r="AH23" i="29"/>
  <c r="AF44" i="29"/>
  <c r="J41" i="51"/>
  <c r="M37" i="82"/>
  <c r="AL45" i="29"/>
  <c r="L41" i="71"/>
  <c r="AH20" i="29"/>
  <c r="I41" i="50"/>
  <c r="AF38" i="29"/>
  <c r="L41" i="89"/>
  <c r="AJ58" i="29"/>
  <c r="O41" i="87"/>
  <c r="L41" i="86"/>
  <c r="AJ8" i="29"/>
  <c r="I41" i="65"/>
  <c r="AD51" i="29"/>
  <c r="L41" i="83"/>
  <c r="AJ14" i="29"/>
  <c r="J37" i="80"/>
  <c r="AF42" i="29"/>
  <c r="K37" i="74"/>
  <c r="AH26" i="29"/>
  <c r="K41" i="73"/>
  <c r="AH12" i="29"/>
  <c r="AL35" i="29"/>
  <c r="J41" i="66"/>
  <c r="AF21" i="29"/>
  <c r="K41" i="60"/>
  <c r="AH18" i="29"/>
  <c r="AH33" i="29" l="1"/>
  <c r="J41" i="64"/>
  <c r="AD33" i="29"/>
  <c r="I41" i="64"/>
  <c r="AB33" i="29"/>
  <c r="M41" i="71"/>
  <c r="L41" i="55"/>
  <c r="K37" i="59"/>
  <c r="AF13" i="29"/>
  <c r="L41" i="69"/>
  <c r="AH61" i="29"/>
  <c r="L41" i="76"/>
  <c r="AH59" i="29"/>
  <c r="M41" i="60"/>
  <c r="AJ15" i="29"/>
  <c r="L41" i="68"/>
  <c r="AH54" i="29"/>
  <c r="O41" i="84"/>
  <c r="AL7" i="29"/>
  <c r="K41" i="52"/>
  <c r="AF50" i="29"/>
  <c r="J41" i="79"/>
  <c r="AD47" i="29"/>
  <c r="AH55" i="29"/>
  <c r="AF55" i="29"/>
  <c r="L41" i="70"/>
  <c r="AH46" i="29"/>
  <c r="K41" i="69"/>
  <c r="AF61" i="29"/>
  <c r="M41" i="57"/>
  <c r="AJ63" i="29"/>
  <c r="M37" i="75"/>
  <c r="AJ60" i="29"/>
  <c r="M41" i="84"/>
  <c r="N41" i="87"/>
  <c r="AL11" i="29"/>
  <c r="AJ11" i="29"/>
  <c r="AH32" i="29"/>
  <c r="AF32" i="29"/>
  <c r="J41" i="56"/>
  <c r="AD25" i="29"/>
  <c r="L41" i="60"/>
  <c r="J41" i="81"/>
  <c r="AD22" i="29"/>
  <c r="N41" i="54"/>
  <c r="AL16" i="29"/>
  <c r="J41" i="63"/>
  <c r="AD29" i="29"/>
  <c r="J41" i="50"/>
  <c r="AD49" i="29"/>
  <c r="K41" i="48"/>
  <c r="AF18" i="29"/>
  <c r="K37" i="88"/>
  <c r="AJ46" i="29"/>
  <c r="O41" i="54"/>
  <c r="K41" i="62"/>
  <c r="K41" i="58"/>
  <c r="M37" i="77"/>
  <c r="M41" i="85"/>
  <c r="AL5" i="29"/>
  <c r="K41" i="49"/>
  <c r="AF22" i="29"/>
  <c r="AF47" i="29"/>
  <c r="P37" i="88"/>
  <c r="L41" i="61"/>
  <c r="L41" i="67"/>
  <c r="AF37" i="29"/>
  <c r="J41" i="72"/>
  <c r="K37" i="78"/>
  <c r="K41" i="51"/>
  <c r="AH44" i="29"/>
  <c r="O37" i="82"/>
  <c r="N37" i="82"/>
  <c r="M41" i="89"/>
  <c r="AL58" i="29"/>
  <c r="M41" i="86"/>
  <c r="AL8" i="29"/>
  <c r="N41" i="84"/>
  <c r="L41" i="62"/>
  <c r="AH13" i="29"/>
  <c r="J41" i="65"/>
  <c r="AF51" i="29"/>
  <c r="M41" i="83"/>
  <c r="AL14" i="29"/>
  <c r="K37" i="80"/>
  <c r="AH42" i="29"/>
  <c r="N37" i="77"/>
  <c r="O37" i="75"/>
  <c r="L37" i="74"/>
  <c r="AJ26" i="29"/>
  <c r="L41" i="73"/>
  <c r="AJ12" i="29"/>
  <c r="N41" i="71"/>
  <c r="O41" i="71"/>
  <c r="K41" i="66"/>
  <c r="AH21" i="29"/>
  <c r="AL15" i="29"/>
  <c r="AJ32" i="29"/>
  <c r="L41" i="48"/>
  <c r="AJ18" i="29"/>
  <c r="O19" i="3"/>
  <c r="O21" i="3" s="1"/>
  <c r="O23" i="3" l="1"/>
  <c r="O26" i="3" s="1"/>
  <c r="O28" i="3" s="1"/>
  <c r="O30" i="3" s="1"/>
  <c r="O31" i="3" s="1"/>
  <c r="O32" i="3" s="1"/>
  <c r="O33" i="3" s="1"/>
  <c r="O35" i="3" s="1"/>
  <c r="R36" i="3" s="1"/>
  <c r="K41" i="64"/>
  <c r="AF33" i="29"/>
  <c r="AJ49" i="29"/>
  <c r="AH49" i="29"/>
  <c r="AH62" i="29"/>
  <c r="AL20" i="29"/>
  <c r="AJ20" i="29"/>
  <c r="AL23" i="29"/>
  <c r="AJ23" i="29"/>
  <c r="AH25" i="29"/>
  <c r="AF25" i="29"/>
  <c r="M41" i="76"/>
  <c r="AJ59" i="29"/>
  <c r="L41" i="52"/>
  <c r="AH50" i="29"/>
  <c r="K41" i="63"/>
  <c r="AF29" i="29"/>
  <c r="L41" i="49"/>
  <c r="O37" i="77"/>
  <c r="O41" i="55"/>
  <c r="AL27" i="29"/>
  <c r="AJ55" i="29"/>
  <c r="M41" i="68"/>
  <c r="AJ54" i="29"/>
  <c r="AH38" i="29"/>
  <c r="L41" i="64"/>
  <c r="N41" i="57"/>
  <c r="AL63" i="29"/>
  <c r="N37" i="75"/>
  <c r="AL60" i="29"/>
  <c r="M41" i="69"/>
  <c r="AJ61" i="29"/>
  <c r="L37" i="88"/>
  <c r="K41" i="50"/>
  <c r="AF49" i="29"/>
  <c r="M41" i="55"/>
  <c r="AJ27" i="29"/>
  <c r="AJ50" i="29"/>
  <c r="M41" i="70"/>
  <c r="AL46" i="29"/>
  <c r="AJ6" i="29"/>
  <c r="K41" i="79"/>
  <c r="M41" i="61"/>
  <c r="L41" i="56"/>
  <c r="O41" i="85"/>
  <c r="N41" i="85"/>
  <c r="K41" i="56"/>
  <c r="K41" i="81"/>
  <c r="AH22" i="29"/>
  <c r="AH47" i="29"/>
  <c r="L37" i="59"/>
  <c r="L41" i="50"/>
  <c r="O41" i="69"/>
  <c r="M41" i="67"/>
  <c r="O41" i="57"/>
  <c r="K41" i="72"/>
  <c r="AH37" i="29"/>
  <c r="L41" i="58"/>
  <c r="N41" i="55"/>
  <c r="L37" i="78"/>
  <c r="L41" i="51"/>
  <c r="AJ44" i="29"/>
  <c r="N41" i="89"/>
  <c r="O41" i="89"/>
  <c r="N41" i="86"/>
  <c r="O41" i="86"/>
  <c r="M41" i="62"/>
  <c r="O41" i="67"/>
  <c r="N41" i="67"/>
  <c r="K41" i="65"/>
  <c r="AH51" i="29"/>
  <c r="N41" i="83"/>
  <c r="O41" i="83"/>
  <c r="L37" i="80"/>
  <c r="AJ42" i="29"/>
  <c r="M37" i="74"/>
  <c r="AL26" i="29"/>
  <c r="M41" i="73"/>
  <c r="AL12" i="29"/>
  <c r="L41" i="66"/>
  <c r="AJ21" i="29"/>
  <c r="O41" i="60"/>
  <c r="N41" i="60"/>
  <c r="N41" i="61"/>
  <c r="O41" i="61"/>
  <c r="AL50" i="29"/>
  <c r="M41" i="50"/>
  <c r="AL49" i="29"/>
  <c r="M41" i="49"/>
  <c r="AL32" i="29"/>
  <c r="M41" i="48"/>
  <c r="AL18" i="29"/>
  <c r="M41" i="64" l="1"/>
  <c r="AL33" i="29"/>
  <c r="AJ33" i="29"/>
  <c r="N41" i="68"/>
  <c r="AL54" i="29"/>
  <c r="L41" i="63"/>
  <c r="AH29" i="29"/>
  <c r="N41" i="62"/>
  <c r="AL55" i="29"/>
  <c r="N41" i="76"/>
  <c r="AL59" i="29"/>
  <c r="M41" i="58"/>
  <c r="AJ38" i="29"/>
  <c r="M41" i="52"/>
  <c r="N37" i="78"/>
  <c r="AL62" i="29"/>
  <c r="M37" i="59"/>
  <c r="AJ13" i="29"/>
  <c r="M41" i="56"/>
  <c r="AJ25" i="29"/>
  <c r="N41" i="69"/>
  <c r="AL61" i="29"/>
  <c r="M37" i="78"/>
  <c r="AJ62" i="29"/>
  <c r="O41" i="76"/>
  <c r="AL6" i="29"/>
  <c r="M37" i="88"/>
  <c r="O41" i="70"/>
  <c r="N41" i="70"/>
  <c r="O37" i="78"/>
  <c r="AL25" i="29"/>
  <c r="L41" i="81"/>
  <c r="L41" i="79"/>
  <c r="O41" i="68"/>
  <c r="O41" i="58"/>
  <c r="L41" i="72"/>
  <c r="AJ37" i="29"/>
  <c r="N41" i="64"/>
  <c r="M41" i="51"/>
  <c r="AL44" i="29"/>
  <c r="L41" i="65"/>
  <c r="M37" i="80"/>
  <c r="AL42" i="29"/>
  <c r="N37" i="74"/>
  <c r="O37" i="74"/>
  <c r="N41" i="73"/>
  <c r="O41" i="73"/>
  <c r="M41" i="66"/>
  <c r="AL21" i="29"/>
  <c r="N41" i="52"/>
  <c r="N41" i="50"/>
  <c r="O41" i="50"/>
  <c r="N41" i="49"/>
  <c r="N41" i="48"/>
  <c r="N37" i="59" l="1"/>
  <c r="AL13" i="29"/>
  <c r="M41" i="81"/>
  <c r="AJ22" i="29"/>
  <c r="N41" i="58"/>
  <c r="AL38" i="29"/>
  <c r="AJ29" i="29"/>
  <c r="M41" i="63"/>
  <c r="O41" i="63"/>
  <c r="M41" i="65"/>
  <c r="AJ51" i="29"/>
  <c r="M41" i="79"/>
  <c r="AJ47" i="29"/>
  <c r="O37" i="88"/>
  <c r="N37" i="88"/>
  <c r="O37" i="59"/>
  <c r="N41" i="56"/>
  <c r="O41" i="56"/>
  <c r="AL47" i="29"/>
  <c r="O41" i="62"/>
  <c r="O41" i="52"/>
  <c r="O41" i="49"/>
  <c r="O41" i="48"/>
  <c r="O41" i="64"/>
  <c r="M41" i="72"/>
  <c r="N41" i="51"/>
  <c r="N37" i="80"/>
  <c r="O37" i="80"/>
  <c r="N41" i="66"/>
  <c r="O41" i="66"/>
  <c r="N41" i="65" l="1"/>
  <c r="AL51" i="29"/>
  <c r="N41" i="72"/>
  <c r="AL37" i="29"/>
  <c r="N41" i="81"/>
  <c r="AL22" i="29"/>
  <c r="AL29" i="29"/>
  <c r="N41" i="63"/>
  <c r="O41" i="81"/>
  <c r="O41" i="79"/>
  <c r="N41" i="79"/>
  <c r="O41" i="51"/>
  <c r="O41" i="72"/>
  <c r="O41" i="65"/>
  <c r="M28" i="29" l="1"/>
  <c r="M108" i="29" s="1"/>
  <c r="S28" i="29" l="1"/>
  <c r="S108" i="29" s="1"/>
  <c r="AE28" i="29"/>
  <c r="Q28" i="29"/>
  <c r="Q108" i="29" s="1"/>
  <c r="AA28" i="29"/>
  <c r="AA108" i="29" s="1"/>
  <c r="AI28" i="29"/>
  <c r="W28" i="29"/>
  <c r="Y28" i="29"/>
  <c r="Y108" i="29" s="1"/>
  <c r="AK28" i="29"/>
  <c r="AC28" i="29"/>
  <c r="AG28" i="29"/>
  <c r="AC108" i="29" l="1"/>
  <c r="AC110" i="29" s="1"/>
  <c r="W108" i="29"/>
  <c r="U109" i="29" s="1"/>
  <c r="P31" i="3"/>
  <c r="O28" i="29"/>
  <c r="O108" i="29" s="1"/>
  <c r="M109" i="29" l="1"/>
  <c r="M111" i="29" s="1"/>
  <c r="Q31" i="3"/>
  <c r="Q32" i="3" s="1"/>
  <c r="P32" i="3"/>
  <c r="P33" i="3" l="1"/>
  <c r="P35" i="3" s="1"/>
  <c r="Q33" i="3"/>
  <c r="Q35" i="3" s="1"/>
  <c r="Q36" i="3" s="1"/>
  <c r="Q41" i="3" s="1"/>
  <c r="N28" i="29"/>
  <c r="N108" i="29" s="1"/>
  <c r="P39" i="3" l="1"/>
  <c r="P36" i="3"/>
  <c r="P41" i="3" s="1"/>
  <c r="C41" i="3"/>
  <c r="V28" i="29"/>
  <c r="V108" i="29" s="1"/>
  <c r="R28" i="29" l="1"/>
  <c r="R108" i="29" s="1"/>
  <c r="P28" i="29"/>
  <c r="P108" i="29" s="1"/>
  <c r="D41" i="3"/>
  <c r="X28" i="29" l="1"/>
  <c r="X108" i="29" s="1"/>
  <c r="E41" i="3"/>
  <c r="T28" i="29" l="1"/>
  <c r="F41" i="3"/>
  <c r="N1" i="29"/>
  <c r="T108" i="29" l="1"/>
  <c r="V109" i="29" s="1"/>
  <c r="G41" i="3"/>
  <c r="H41" i="3" l="1"/>
  <c r="Z28" i="29"/>
  <c r="I41" i="3" l="1"/>
  <c r="AB28" i="29"/>
  <c r="J41" i="3" l="1"/>
  <c r="AD28" i="29"/>
  <c r="K41" i="3" l="1"/>
  <c r="AF28" i="29"/>
  <c r="L41" i="3" l="1"/>
  <c r="AH28" i="29"/>
  <c r="M41" i="3" l="1"/>
  <c r="AJ28" i="29"/>
  <c r="G41" i="47"/>
  <c r="N41" i="3" l="1"/>
  <c r="AL28" i="29"/>
  <c r="O41" i="3"/>
  <c r="Z36" i="29"/>
  <c r="Z108" i="29" s="1"/>
  <c r="H41" i="47" l="1"/>
  <c r="I41" i="47" l="1"/>
  <c r="AB36" i="29"/>
  <c r="AB108" i="29" s="1"/>
  <c r="AH36" i="29" l="1"/>
  <c r="AH108" i="29" s="1"/>
  <c r="AD36" i="29"/>
  <c r="AD108" i="29" s="1"/>
  <c r="J41" i="47"/>
  <c r="K41" i="47" l="1"/>
  <c r="AF36" i="29"/>
  <c r="AF108" i="29" s="1"/>
  <c r="L41" i="47"/>
  <c r="M41" i="47" l="1"/>
  <c r="AJ36" i="29"/>
  <c r="AJ108" i="29" s="1"/>
  <c r="N41" i="47" l="1"/>
  <c r="AL36" i="29"/>
  <c r="O41" i="47"/>
  <c r="AL108" i="29" l="1"/>
  <c r="O110" i="29" s="1"/>
  <c r="S110" i="29" s="1"/>
  <c r="AL110" i="29" s="1"/>
</calcChain>
</file>

<file path=xl/sharedStrings.xml><?xml version="1.0" encoding="utf-8"?>
<sst xmlns="http://schemas.openxmlformats.org/spreadsheetml/2006/main" count="8240" uniqueCount="697">
  <si>
    <t>No</t>
  </si>
  <si>
    <t>March</t>
  </si>
  <si>
    <t>April</t>
  </si>
  <si>
    <t>May</t>
  </si>
  <si>
    <t>June</t>
  </si>
  <si>
    <t>July</t>
  </si>
  <si>
    <t>Sept</t>
  </si>
  <si>
    <t>Nov</t>
  </si>
  <si>
    <t>Dec</t>
  </si>
  <si>
    <t>GAJI / PENSIUN ATAU THT / JHT</t>
  </si>
  <si>
    <t xml:space="preserve">TUNJANGAN PPh </t>
  </si>
  <si>
    <t xml:space="preserve">TUNJANGAN LAINNYA, UANG LEMBUR, DAN SEBAGAINYA </t>
  </si>
  <si>
    <t>HONORARIUM DAN IMBALAN LAIN SEJENISNYA</t>
  </si>
  <si>
    <t xml:space="preserve">PREMI ASURANSI YANG DIBAYAR PEMBERI KERJA </t>
  </si>
  <si>
    <t xml:space="preserve">PENERIMAAN DALAM BENTUK NATURA DAN KENIKMATAN LAINNYA YANG DIKENAKAN PEMOTONGAN PPh PASAL 21 </t>
  </si>
  <si>
    <t xml:space="preserve">JUMLAH (1 s.d. 6) </t>
  </si>
  <si>
    <t xml:space="preserve">TANTIEM, BONUS, GRATIFIKASI, JASA PRODUKSI, DAN THR </t>
  </si>
  <si>
    <t xml:space="preserve">JUMLAH PENGHASILAN BRUTO (7 + 8) </t>
  </si>
  <si>
    <t>PENGURANGAN :</t>
  </si>
  <si>
    <t xml:space="preserve">BIAYA JABATAN / BIAYA PENSIUN ATAS PENGHASILAN PADA ANGKA 7 </t>
  </si>
  <si>
    <t xml:space="preserve">BIAYA JABATAN / BIAYA PENSIUN ATAS PENGHASILAN PADA ANGKA 8 </t>
  </si>
  <si>
    <t xml:space="preserve">IURAN PENSIUN ATAU IURAN THT/ JHT </t>
  </si>
  <si>
    <t xml:space="preserve">JUMLAH PENGURANGAN (10 + 11 + 12) </t>
  </si>
  <si>
    <t>PENGHITUNGAN PPh PASAL 21 :</t>
  </si>
  <si>
    <t xml:space="preserve">JUMLAH PENGHASILAN NETO (9 - 13) </t>
  </si>
  <si>
    <t xml:space="preserve">PENGHASILAN NETO MASA SEBELUMNYA </t>
  </si>
  <si>
    <t xml:space="preserve">JUMLAH PENGHASILAN NETO UNTUK PENGHITUNGAN PPh PASAL 21 (SETAHUN/DISETAHUNKAN) </t>
  </si>
  <si>
    <t xml:space="preserve">PENGHASILAN TIDAK KENA PAJAK (PTKP) </t>
  </si>
  <si>
    <t xml:space="preserve">PENGHASILAN KENA PAJAK SETAHUN / DISETAHUNKAN (16 - 17) </t>
  </si>
  <si>
    <t xml:space="preserve">PPh PASAL 21 ATAS PENGHASILAN KENA PAJAK SETAHUN/DISETAHUNKAN </t>
  </si>
  <si>
    <t xml:space="preserve">PPh PASAL 21 YANG TELAH DIPOTONG MASA SEBELUMNYA </t>
  </si>
  <si>
    <t xml:space="preserve">PPh PASAL 21 TERUTANG </t>
  </si>
  <si>
    <t>PPh PASAL 21 PER BULAN</t>
  </si>
  <si>
    <t>PPh PASAL 21 PER BULAN (DATA CLIENT)</t>
  </si>
  <si>
    <t>Take Home Pay (THP)</t>
  </si>
  <si>
    <t>Nama</t>
  </si>
  <si>
    <t>KTP</t>
  </si>
  <si>
    <t>Alamat</t>
  </si>
  <si>
    <t>NPWP</t>
  </si>
  <si>
    <t>Januari</t>
  </si>
  <si>
    <t>Februari</t>
  </si>
  <si>
    <t>Maret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</si>
  <si>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</si>
  <si>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</si>
  <si>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</si>
  <si>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</si>
  <si>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</si>
  <si>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</si>
  <si>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</si>
  <si>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</si>
  <si>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K/2</t>
  </si>
  <si>
    <t>NIK KTP</t>
  </si>
  <si>
    <t>NAMA</t>
  </si>
  <si>
    <t>STATUS</t>
  </si>
  <si>
    <t>MASA KERJA</t>
  </si>
  <si>
    <t>Jan</t>
  </si>
  <si>
    <t>Feb</t>
  </si>
  <si>
    <t>Apr</t>
  </si>
  <si>
    <t>Oct</t>
  </si>
  <si>
    <t>AWAL</t>
  </si>
  <si>
    <t>AKHIR</t>
  </si>
  <si>
    <t>21 Payable</t>
  </si>
  <si>
    <t>Total Payable PPh 21</t>
  </si>
  <si>
    <t xml:space="preserve">DATA KARYAWAN </t>
  </si>
  <si>
    <t>K/3</t>
  </si>
  <si>
    <t>PTKP</t>
  </si>
  <si>
    <t>Jumlah</t>
  </si>
  <si>
    <t>TK/0</t>
  </si>
  <si>
    <t>K/0</t>
  </si>
  <si>
    <t>K/1</t>
  </si>
  <si>
    <t>Tanggal Pembayaran</t>
  </si>
  <si>
    <t>Total Penghasilan Perbulan</t>
  </si>
  <si>
    <t>THR</t>
  </si>
  <si>
    <t>PPh 21</t>
  </si>
  <si>
    <t>PKP</t>
  </si>
  <si>
    <t>Should Be Paid</t>
  </si>
  <si>
    <t>Difference</t>
  </si>
  <si>
    <t>ALAMAT</t>
  </si>
  <si>
    <t>Total</t>
  </si>
  <si>
    <t>Total Penghasilan Per Tahun</t>
  </si>
  <si>
    <t>May-THR</t>
  </si>
  <si>
    <t>PPH 21 atas THR</t>
  </si>
  <si>
    <t>Pajak THR</t>
  </si>
  <si>
    <t>Karyawan tidak kena pajak</t>
  </si>
  <si>
    <t>Penghasilan tidak melebihi ptkp</t>
  </si>
  <si>
    <t>Karyawan Tidak tetap</t>
  </si>
  <si>
    <t>Total Penghasilan Karyawan</t>
  </si>
  <si>
    <t>Pajak dipotong sebulan</t>
  </si>
  <si>
    <t>Pajak Dipotong 1721-A1</t>
  </si>
  <si>
    <t>PPh yang harus dibayar desember</t>
  </si>
  <si>
    <t>Adelia Reztiar Marlen</t>
  </si>
  <si>
    <t>Dr. Gunawan Nachrawi, S.H., M.H</t>
  </si>
  <si>
    <t>Keterangan</t>
  </si>
  <si>
    <t>TK/1</t>
  </si>
  <si>
    <t>TK/2</t>
  </si>
  <si>
    <t>TK/3</t>
  </si>
  <si>
    <t>K/I/0</t>
  </si>
  <si>
    <t>K/I/1</t>
  </si>
  <si>
    <t>K/I/2</t>
  </si>
  <si>
    <t>K/I/3</t>
  </si>
  <si>
    <t>3275082206610012</t>
  </si>
  <si>
    <t>Perumahan Jati Agung I Blok C1/10 17421</t>
  </si>
  <si>
    <t>NIK</t>
  </si>
  <si>
    <t>Jabatan</t>
  </si>
  <si>
    <t>Masa Kerja</t>
  </si>
  <si>
    <t>TTL</t>
  </si>
  <si>
    <t>Gender</t>
  </si>
  <si>
    <t>No. Hp</t>
  </si>
  <si>
    <t>Kelurahan</t>
  </si>
  <si>
    <t>Kecamatan</t>
  </si>
  <si>
    <t>Kabupaten</t>
  </si>
  <si>
    <t>Provinsi</t>
  </si>
  <si>
    <t>3175036303970004</t>
  </si>
  <si>
    <t>Staff Lppm</t>
  </si>
  <si>
    <t>8 bulan</t>
  </si>
  <si>
    <t>Jakarta, 23 Maret 1997</t>
  </si>
  <si>
    <t>P</t>
  </si>
  <si>
    <t>085714084075</t>
  </si>
  <si>
    <t>Jl. Kebon Sayur I Rt 002/Rw 015 No.25 13330</t>
  </si>
  <si>
    <t>Bidaracina</t>
  </si>
  <si>
    <t>Jatinegara</t>
  </si>
  <si>
    <t xml:space="preserve"> Jakarta Timur </t>
  </si>
  <si>
    <t>Dki Jakarta</t>
  </si>
  <si>
    <t>3277034708920010</t>
  </si>
  <si>
    <t>Agri Chairunisa Isradjuningtias</t>
  </si>
  <si>
    <t xml:space="preserve">Ketua Program Studi Sarjana Hukum </t>
  </si>
  <si>
    <t>3 tahun 7 bulan</t>
  </si>
  <si>
    <t>Cimahi, 7 Agustus 1992</t>
  </si>
  <si>
    <t>'087722691322</t>
  </si>
  <si>
    <t>Jl Cihanjuang Gg M Idris No 141, Rt 004/005 40513</t>
  </si>
  <si>
    <t>Cibabat</t>
  </si>
  <si>
    <t>Cimahi Utara</t>
  </si>
  <si>
    <t xml:space="preserve">Cimahi </t>
  </si>
  <si>
    <t>Jawa Barat</t>
  </si>
  <si>
    <t>3326084606960000</t>
  </si>
  <si>
    <t>Andriana Kusumawati</t>
  </si>
  <si>
    <t>Sekretaris Lembaga Penjaminan Mutu</t>
  </si>
  <si>
    <t>Pekalongan, 06 Juni 1996</t>
  </si>
  <si>
    <t>'081381837274</t>
  </si>
  <si>
    <t>Jalan Anyelir Nomor Ee7 Kompleks Nyiur Melambai Ii</t>
  </si>
  <si>
    <t>Rawa Badak Utara</t>
  </si>
  <si>
    <t xml:space="preserve"> Koja</t>
  </si>
  <si>
    <t>Jakarta Utara</t>
  </si>
  <si>
    <t>3174091002850010</t>
  </si>
  <si>
    <t>Ardiansyah</t>
  </si>
  <si>
    <t>Wakil Kepala Biro Akademik</t>
  </si>
  <si>
    <t>10 tahun 2 bulan</t>
  </si>
  <si>
    <t>Jakarta,  10 Februari 1985</t>
  </si>
  <si>
    <t>L</t>
  </si>
  <si>
    <t>081290421911</t>
  </si>
  <si>
    <t>Jl.  H.  Riman, Gandaria Rt 007 Rw 02 Nomor 74 7 12620</t>
  </si>
  <si>
    <t/>
  </si>
  <si>
    <t>Jagakarsa</t>
  </si>
  <si>
    <t>Jakarta Selatan</t>
  </si>
  <si>
    <t>3328022509800000</t>
  </si>
  <si>
    <t>Arrum Budi Leksono</t>
  </si>
  <si>
    <t>Wakil Ketua Ii Stih Iblam</t>
  </si>
  <si>
    <t>15 tahun 2 bulan</t>
  </si>
  <si>
    <t>Pekalongan, 25 September 1980</t>
  </si>
  <si>
    <t>'081318462340</t>
  </si>
  <si>
    <t>Jl. Apel V No. 8 Blok C 10 Rt 02/Rw 10 16435</t>
  </si>
  <si>
    <t>Rangkapanjaya</t>
  </si>
  <si>
    <t>Depok</t>
  </si>
  <si>
    <t>3174044112970000</t>
  </si>
  <si>
    <t>Devi Tri Indriyani</t>
  </si>
  <si>
    <t>Sekretaris Pimpinan</t>
  </si>
  <si>
    <t>1 tahun 10 bulan</t>
  </si>
  <si>
    <t>Jakarta, 1 Desember 1997</t>
  </si>
  <si>
    <t>0878-8538-1997</t>
  </si>
  <si>
    <t>Kp Bojong Jengkol Rt 004/Rw 10 16710</t>
  </si>
  <si>
    <t>Cilebut Barat</t>
  </si>
  <si>
    <t>Sukaraja</t>
  </si>
  <si>
    <t>Bogor</t>
  </si>
  <si>
    <t>3276055109970001</t>
  </si>
  <si>
    <t>Dewi Septiani</t>
  </si>
  <si>
    <t>Staff Akademik</t>
  </si>
  <si>
    <t>1 tahun 7 bulan</t>
  </si>
  <si>
    <t>Depok, 11 September 1997</t>
  </si>
  <si>
    <t>'082210260448</t>
  </si>
  <si>
    <t>Jl. Sinabung Vii No 49 Rt 02/010. 16417</t>
  </si>
  <si>
    <t>Abadijaya</t>
  </si>
  <si>
    <t>Sukmajaya</t>
  </si>
  <si>
    <t>3207081806910000</t>
  </si>
  <si>
    <t>E. Nuryakin</t>
  </si>
  <si>
    <t>Staf Biro Kemahasiswaada Alumni</t>
  </si>
  <si>
    <t>Ciamis, 18 Juni 1991</t>
  </si>
  <si>
    <t>081122221447</t>
  </si>
  <si>
    <t>Jl Raya Cikeruh No 21</t>
  </si>
  <si>
    <t>Sayang Jatinangor</t>
  </si>
  <si>
    <t>Sumedang</t>
  </si>
  <si>
    <t>3328021410870000</t>
  </si>
  <si>
    <t>Fakhlur</t>
  </si>
  <si>
    <t xml:space="preserve">Kepala Lembaga Penjaminan Mutu </t>
  </si>
  <si>
    <t>6 tahun 2 bulan</t>
  </si>
  <si>
    <t>Tegal, 14 Oktober 1987</t>
  </si>
  <si>
    <t>085774981333</t>
  </si>
  <si>
    <t>Jl. Sekolah, No. 57, Rt/Rw 10/2.</t>
  </si>
  <si>
    <t>Duri Kosambi</t>
  </si>
  <si>
    <t>Cengkareng</t>
  </si>
  <si>
    <t>Jakarta Barat</t>
  </si>
  <si>
    <t>3173022409960001</t>
  </si>
  <si>
    <t>Fakhrul Ikhram Haris</t>
  </si>
  <si>
    <t>Staff Penagihan</t>
  </si>
  <si>
    <t>Jakarta, 24 September 1996</t>
  </si>
  <si>
    <t>'085731506105</t>
  </si>
  <si>
    <t>Jl. Satria Iii No.112F. Rt 007 Rw 004 11460</t>
  </si>
  <si>
    <t>Jelambar</t>
  </si>
  <si>
    <t>Grogol Petamburan</t>
  </si>
  <si>
    <t>3671074507900000</t>
  </si>
  <si>
    <t>Feny Windiyastuti</t>
  </si>
  <si>
    <t>Kepala Biro Akademik</t>
  </si>
  <si>
    <t>Purworejo, 5 Juli 1990</t>
  </si>
  <si>
    <t>082138558660</t>
  </si>
  <si>
    <t>Bugel Mas Indah Blok C1 No. 27</t>
  </si>
  <si>
    <t xml:space="preserve"> Bugel</t>
  </si>
  <si>
    <t>Karawaci</t>
  </si>
  <si>
    <t>Tangerang</t>
  </si>
  <si>
    <t>Banten</t>
  </si>
  <si>
    <t>Gunawan Nachrawi</t>
  </si>
  <si>
    <t>Ketua Stih Iblam</t>
  </si>
  <si>
    <t>7 tahun 2 bulan</t>
  </si>
  <si>
    <t>Pamekasan, 22 Juni 1961</t>
  </si>
  <si>
    <t>0817722661</t>
  </si>
  <si>
    <t>Katikramat</t>
  </si>
  <si>
    <t>Pondok Gede</t>
  </si>
  <si>
    <t>Bekasi</t>
  </si>
  <si>
    <t>3276051008830000</t>
  </si>
  <si>
    <t>Heriandi Budiono</t>
  </si>
  <si>
    <t>Kepala Biro Sarpras &amp; It</t>
  </si>
  <si>
    <t>1 tahun 2 bulan</t>
  </si>
  <si>
    <t>Pekanbaru, 10 Agustus 1983</t>
  </si>
  <si>
    <t>'08128268104</t>
  </si>
  <si>
    <t xml:space="preserve">Pondok Tirta Mandala Blok N4 No.14 </t>
  </si>
  <si>
    <t xml:space="preserve">Sukamaju </t>
  </si>
  <si>
    <t>Cilodong</t>
  </si>
  <si>
    <t>3171036405840010</t>
  </si>
  <si>
    <t>Jamiatur Robekha</t>
  </si>
  <si>
    <t>Kabiro Kemahasiswaan Dan Alumni</t>
  </si>
  <si>
    <t>16 tahun 2 bulan</t>
  </si>
  <si>
    <t>Tegal, 24 Mei 1984</t>
  </si>
  <si>
    <t>'087777703078</t>
  </si>
  <si>
    <t>Jl. Suka Mulya Iv No 35 Rt 003 Rw 006 10640</t>
  </si>
  <si>
    <t>Harapan Mulia</t>
  </si>
  <si>
    <t xml:space="preserve">Kemayoran </t>
  </si>
  <si>
    <t>Jakarta Pusat</t>
  </si>
  <si>
    <t>3174022105920000</t>
  </si>
  <si>
    <t>Kenzo Aldio</t>
  </si>
  <si>
    <t>Staff Biro Kehumasan Dan Kerjasama</t>
  </si>
  <si>
    <t>21 Mei 1992</t>
  </si>
  <si>
    <t>'082218157640</t>
  </si>
  <si>
    <t>Jl. K.H. Syahdan Gg. Harun 2 No. 167 11480</t>
  </si>
  <si>
    <t>Palmerah</t>
  </si>
  <si>
    <t>3276065512840000</t>
  </si>
  <si>
    <t xml:space="preserve">Khotijah </t>
  </si>
  <si>
    <t>Admin</t>
  </si>
  <si>
    <t>14 tahun 2 bulan</t>
  </si>
  <si>
    <t>Tegal, 15 Desember 1984</t>
  </si>
  <si>
    <t>082111512929</t>
  </si>
  <si>
    <t>Cipayung jaya RT 05 RW 06</t>
  </si>
  <si>
    <t>Cipayung Jaya</t>
  </si>
  <si>
    <t>Cipayung</t>
  </si>
  <si>
    <t>Jakarta Timur</t>
  </si>
  <si>
    <t>3215257107960000</t>
  </si>
  <si>
    <t>Lisa Sugiyanti</t>
  </si>
  <si>
    <t>Sekretaris Prodi S2</t>
  </si>
  <si>
    <t>7 bulan</t>
  </si>
  <si>
    <t xml:space="preserve">Jakarta, 31 Juli 1996 </t>
  </si>
  <si>
    <t>'0895349080673</t>
  </si>
  <si>
    <t>Kp. Karang Salam Rt 04/06 Desa Pucung  41374</t>
  </si>
  <si>
    <t>Kotabaru</t>
  </si>
  <si>
    <t>Karawang</t>
  </si>
  <si>
    <t>3175040611830010</t>
  </si>
  <si>
    <t>Marjan Miharja</t>
  </si>
  <si>
    <t>Wakil Ketua I Stih Iblam</t>
  </si>
  <si>
    <t>Jakarta, 6 November 1983</t>
  </si>
  <si>
    <t>081296160234</t>
  </si>
  <si>
    <t>Jl. Dewi Sartika GG H Moh Zen No.22 RT.07/RW 005</t>
  </si>
  <si>
    <t>Cawang</t>
  </si>
  <si>
    <t>Kramatjati</t>
  </si>
  <si>
    <t>3275026505970010</t>
  </si>
  <si>
    <t>Melvalita Widyasari</t>
  </si>
  <si>
    <t>Jakarta, 25 Mei 1997</t>
  </si>
  <si>
    <t>085771126224</t>
  </si>
  <si>
    <t>Bintara Jaya Permai C.189, Rt 006/ Rw 011 17136</t>
  </si>
  <si>
    <t>Bintara Jaya</t>
  </si>
  <si>
    <t>Bekasi Barat</t>
  </si>
  <si>
    <t xml:space="preserve"> Bekasi</t>
  </si>
  <si>
    <t>Misbahul Huda</t>
  </si>
  <si>
    <t>Kaprodi S2</t>
  </si>
  <si>
    <t>5 bulan</t>
  </si>
  <si>
    <t>Pacitan, 15 Maret 1959</t>
  </si>
  <si>
    <t>081335224945</t>
  </si>
  <si>
    <t>Pandansari RT 002 RW 007 Jururejo Ngawi</t>
  </si>
  <si>
    <t>3328041906000001</t>
  </si>
  <si>
    <t>Prian Toro</t>
  </si>
  <si>
    <t>Ob/Umum</t>
  </si>
  <si>
    <t>Tegal 19 Mei 2000</t>
  </si>
  <si>
    <t>'083806265991</t>
  </si>
  <si>
    <t>Desa Cilongok Jalan Wijaya Ii Rt 003 Rw 004 52464</t>
  </si>
  <si>
    <t>Balapulang</t>
  </si>
  <si>
    <t>Tegal</t>
  </si>
  <si>
    <t>Jawa Tengah</t>
  </si>
  <si>
    <t>3276062912940004</t>
  </si>
  <si>
    <t>Radika Husaini Ondo</t>
  </si>
  <si>
    <t>Sdm</t>
  </si>
  <si>
    <t>2 bulan</t>
  </si>
  <si>
    <t>Surabaya, 29 Desember 1994</t>
  </si>
  <si>
    <t>08111501294</t>
  </si>
  <si>
    <t>Putra Mandiri Regency Blok A-4</t>
  </si>
  <si>
    <t>Curug</t>
  </si>
  <si>
    <t>Beji</t>
  </si>
  <si>
    <t>3173075709011000</t>
  </si>
  <si>
    <t>Salma Fadillah</t>
  </si>
  <si>
    <t>1 tahun 5 bulan</t>
  </si>
  <si>
    <t>Jakarta, 17 September 2001</t>
  </si>
  <si>
    <t>'085706085997</t>
  </si>
  <si>
    <t>Jl. Tomang Pulo Rt 007/Rw 005 11430</t>
  </si>
  <si>
    <t>Jati Pulo</t>
  </si>
  <si>
    <t>3205200202970000</t>
  </si>
  <si>
    <t>Sandi Nugraha</t>
  </si>
  <si>
    <t>Umum</t>
  </si>
  <si>
    <t>Garut, 01 Juli 1997</t>
  </si>
  <si>
    <t>081992630860</t>
  </si>
  <si>
    <t>Kp Cibojong, Desa Balewangi 44163</t>
  </si>
  <si>
    <t>Cisurupan</t>
  </si>
  <si>
    <t>Garut</t>
  </si>
  <si>
    <t>3173086510880003</t>
  </si>
  <si>
    <t>Sri Wulandara</t>
  </si>
  <si>
    <t xml:space="preserve">Ka. Biro Adm Umum &amp; Keuangan </t>
  </si>
  <si>
    <t>Jakarta, 25 Oktober 1988</t>
  </si>
  <si>
    <t>081296875833</t>
  </si>
  <si>
    <t>Jl. Palding Jaya Kp. Baru No. 80 Rt. 007/ Rw.010 11610</t>
  </si>
  <si>
    <t>Kembangan Utara</t>
  </si>
  <si>
    <t>Kembangan</t>
  </si>
  <si>
    <t>3276061311870000</t>
  </si>
  <si>
    <t>Suharto</t>
  </si>
  <si>
    <t>13 tahun 2 bulan</t>
  </si>
  <si>
    <t>Brebes, 13 November 1987</t>
  </si>
  <si>
    <t>'089671752474</t>
  </si>
  <si>
    <t>Perum. Mega Regency Blok E52 No. 7-8 Rt.008/013 17330</t>
  </si>
  <si>
    <t>Sukaragam</t>
  </si>
  <si>
    <t>Serang Baru</t>
  </si>
  <si>
    <t>Cikarang</t>
  </si>
  <si>
    <t>3208304403870001</t>
  </si>
  <si>
    <t>Susilawati</t>
  </si>
  <si>
    <t>Keuangan</t>
  </si>
  <si>
    <t>1 tahun 1 bulan</t>
  </si>
  <si>
    <t>Kuningan, 6 Maret 1987</t>
  </si>
  <si>
    <t>085814574855</t>
  </si>
  <si>
    <t>Rusun Rawabebek</t>
  </si>
  <si>
    <t>Pula Gebang</t>
  </si>
  <si>
    <t xml:space="preserve">Cakung </t>
  </si>
  <si>
    <t>3603122408950001</t>
  </si>
  <si>
    <t>Suyogi Imam Fauzi</t>
  </si>
  <si>
    <t>IT</t>
  </si>
  <si>
    <t>24 Agustus 1995</t>
  </si>
  <si>
    <t>081398619321</t>
  </si>
  <si>
    <t>Jalan kerinci 2 blok N3 No.36 villa tomang baru</t>
  </si>
  <si>
    <t>Gelam Jaya</t>
  </si>
  <si>
    <t>Pasar Kemis</t>
  </si>
  <si>
    <t>3172024101970010</t>
  </si>
  <si>
    <t>Tika Rahayu</t>
  </si>
  <si>
    <t>Staff Kesekretariatan, Arsip &amp; Perpustakaan</t>
  </si>
  <si>
    <t>Jakarta, 1 Januari 1996</t>
  </si>
  <si>
    <t>087883278995</t>
  </si>
  <si>
    <t>Jl. Ancol Selatan No.2D Rt/Rw 002/01   14350</t>
  </si>
  <si>
    <t>Sunter Agung</t>
  </si>
  <si>
    <t>Tanjung Priok</t>
  </si>
  <si>
    <t>3215244209960004</t>
  </si>
  <si>
    <t>Uzlifatul Jannah</t>
  </si>
  <si>
    <t>Kabiro Data</t>
  </si>
  <si>
    <t>2 tahun 9 bulan</t>
  </si>
  <si>
    <t>Karawang, 02 September 1996</t>
  </si>
  <si>
    <t>'085814574855</t>
  </si>
  <si>
    <t>Kp.Jungklang Rt/Rw.001/003 Ds.Pamekaran Kec. Kab. 41374</t>
  </si>
  <si>
    <t>Banyusari</t>
  </si>
  <si>
    <t>3276011811970014</t>
  </si>
  <si>
    <t>Wihendy</t>
  </si>
  <si>
    <t>Sarpras/Ob</t>
  </si>
  <si>
    <t>1 bulan</t>
  </si>
  <si>
    <t>Depok, 18 November 1997</t>
  </si>
  <si>
    <t>083806938535</t>
  </si>
  <si>
    <t>Mampang bojong 02/14</t>
  </si>
  <si>
    <t>Mampang</t>
  </si>
  <si>
    <t>Pancoran Mas</t>
  </si>
  <si>
    <t>3328040101000004</t>
  </si>
  <si>
    <t>Wirman Romadon</t>
  </si>
  <si>
    <t>Tegal, 1 Januari 2000</t>
  </si>
  <si>
    <t>085225844900</t>
  </si>
  <si>
    <t>Jl.otista raya cawang 1 RT 03 RW 12</t>
  </si>
  <si>
    <t>3174045308970000</t>
  </si>
  <si>
    <t>Wita Maulida</t>
  </si>
  <si>
    <t>Staff Pengambangan Biro Dosen</t>
  </si>
  <si>
    <t>3 bulan</t>
  </si>
  <si>
    <t>Jakarta , 13 Agustus 1997</t>
  </si>
  <si>
    <t>087770301165</t>
  </si>
  <si>
    <t>Jati Padang, Rt 2 Rw 6 No.41 10250</t>
  </si>
  <si>
    <t>Pasar Minggu</t>
  </si>
  <si>
    <t>3601094901980000</t>
  </si>
  <si>
    <t>Yeni Karlina</t>
  </si>
  <si>
    <t>Sekretaris Program Studi S1</t>
  </si>
  <si>
    <t>Pandeglang, 09 Januari 1998</t>
  </si>
  <si>
    <t>081413504350</t>
  </si>
  <si>
    <t>Kp. Kapinango Rt/Rt 004/002 Desa. Kertasana 42265</t>
  </si>
  <si>
    <t>Pagelaran</t>
  </si>
  <si>
    <t>Pandeglang</t>
  </si>
  <si>
    <t>3172024104960005</t>
  </si>
  <si>
    <t>Yolla Apriliany</t>
  </si>
  <si>
    <t>Kuningan. 01 April 1996</t>
  </si>
  <si>
    <t>085694822184</t>
  </si>
  <si>
    <t>Jalan Kedondong I No.08, Rt.10/Rw.006 14350</t>
  </si>
  <si>
    <t>Sunter Jaya</t>
  </si>
  <si>
    <t>3175062307950004</t>
  </si>
  <si>
    <t>Yulius Alfredo</t>
  </si>
  <si>
    <t>Jakarta 23 Juli 1995</t>
  </si>
  <si>
    <t>089604093122</t>
  </si>
  <si>
    <t>Cakung Barat Rt 004 Rw 004</t>
  </si>
  <si>
    <t>Cakung Barat</t>
  </si>
  <si>
    <t>3171042504850003</t>
  </si>
  <si>
    <t>Zamroni</t>
  </si>
  <si>
    <t>Marketing</t>
  </si>
  <si>
    <t>Tegal, 25 April 1985</t>
  </si>
  <si>
    <t>08176766772</t>
  </si>
  <si>
    <t xml:space="preserve">Jl.Kramat Pulo Gg.Vi No.B51 Rt/Rw 003/003  </t>
  </si>
  <si>
    <t>Kramat</t>
  </si>
  <si>
    <t xml:space="preserve"> Senen</t>
  </si>
  <si>
    <t>No.</t>
  </si>
  <si>
    <t>Setahun</t>
  </si>
  <si>
    <t>Marjan Miharja, S.H., M.H</t>
  </si>
  <si>
    <t>Rani Yuwafi</t>
  </si>
  <si>
    <t>Khotijah</t>
  </si>
  <si>
    <t>Dr. Misbahul Huda, S.H., M.H</t>
  </si>
  <si>
    <t>Devi Tri Indriyani, S.Pd</t>
  </si>
  <si>
    <t>Yolla Aprilianny</t>
  </si>
  <si>
    <t>Melvalita Widyawati</t>
  </si>
  <si>
    <t>Fakhlur Ikhram Haris</t>
  </si>
  <si>
    <t>Abdul Muis</t>
  </si>
  <si>
    <t>Priantoro</t>
  </si>
  <si>
    <t>Riska Pramelia</t>
  </si>
  <si>
    <t>Dwi Yunitasari</t>
  </si>
  <si>
    <t>Aldian Kahfi</t>
  </si>
  <si>
    <t>P/L</t>
  </si>
  <si>
    <t>NAMA KARYAWAN</t>
  </si>
  <si>
    <t>ALAMAT LENGKAP 
(KTP)</t>
  </si>
  <si>
    <t xml:space="preserve">Perumahan Jati Agung I Blok C1/10 17421 </t>
  </si>
  <si>
    <t>PPh Kurang (Lebih) Dibayar</t>
  </si>
  <si>
    <t>Dosen</t>
  </si>
  <si>
    <t>Fatimah Ratna Wijaya</t>
  </si>
  <si>
    <t>Rahmat Dwi Putranto</t>
  </si>
  <si>
    <t>Direksi</t>
  </si>
  <si>
    <t>Asri</t>
  </si>
  <si>
    <t>Onny Putranti</t>
  </si>
  <si>
    <t>Muhammad Kajoen</t>
  </si>
  <si>
    <t>Endang Setiawati</t>
  </si>
  <si>
    <t>Security</t>
  </si>
  <si>
    <t>Arif Awangga</t>
  </si>
  <si>
    <t xml:space="preserve">Arif Awangga </t>
  </si>
  <si>
    <t xml:space="preserve">x </t>
  </si>
  <si>
    <t>Ketua STIH</t>
  </si>
  <si>
    <t>Waket I</t>
  </si>
  <si>
    <t>Waket II</t>
  </si>
  <si>
    <t>Career Development Center</t>
  </si>
  <si>
    <t>Kabiro Keuangan</t>
  </si>
  <si>
    <t>Kabiro Humas dan Kerjasama</t>
  </si>
  <si>
    <t>Staff Akademik Depok</t>
  </si>
  <si>
    <t>Staff Finance Depok</t>
  </si>
  <si>
    <t>Wakabiro Akademik</t>
  </si>
  <si>
    <t>Ka. Biro akademik</t>
  </si>
  <si>
    <t>Ketua LPM</t>
  </si>
  <si>
    <t>Staff Marketing</t>
  </si>
  <si>
    <t>Kaprodi S1</t>
  </si>
  <si>
    <t>Ketua PPKH</t>
  </si>
  <si>
    <t>Staff LPM</t>
  </si>
  <si>
    <t>Staff PD DIKTI</t>
  </si>
  <si>
    <t>Kabiro Umum dan Sarpras</t>
  </si>
  <si>
    <t>Staff Humas dan Kerjasama</t>
  </si>
  <si>
    <t xml:space="preserve">Staff Finance </t>
  </si>
  <si>
    <t>Staff Arsip</t>
  </si>
  <si>
    <t>Staff Administrasi</t>
  </si>
  <si>
    <t>Staff Prodi S1</t>
  </si>
  <si>
    <t>Staff Umum</t>
  </si>
  <si>
    <t>advertiser</t>
  </si>
  <si>
    <t>freelancer</t>
  </si>
  <si>
    <t>Indah Prisilia</t>
  </si>
  <si>
    <t>OB</t>
  </si>
  <si>
    <t>Putra Mandiri Regency Blok A-4 Curug Beji Depok Jawa Barat</t>
  </si>
  <si>
    <t>Perumahan Jati Agung I Blok C1/10 17421  Katikramat Pondok Gede Bekasi Jawa Barat</t>
  </si>
  <si>
    <t>Jl. Dewi Sartika GG H Moh Zen No.22 RT.07/RW 005 Cawang Kramatjati Jakarta Timur Dki Jakarta</t>
  </si>
  <si>
    <t>Jl. Apel V No. 8 Blok C 10 Rt 02/Rw 10 16435  Rangkapanjaya Depok Jawa Barat</t>
  </si>
  <si>
    <t>Jl. Suka Mulya Iv No 35 Rt 003 Rw 006 10640 Harapan Mulia Kemayoran  Jakarta Pusat Dki Jakarta</t>
  </si>
  <si>
    <t>Jl. Palding Jaya Kp. Baru No. 80 Rt. 007/ Rw.010 11610 Kembangan Utara Kembangan Jakarta Barat Dki Jakarta</t>
  </si>
  <si>
    <t>Perum. Mega Regency Blok E52 No. 7-8 Rt.008/013 17330 Sukaragam Serang Baru Cikarang Jawa Barat</t>
  </si>
  <si>
    <t>Cipayung jaya RT 05 RW 06 Cipayung Jaya Cipayung Jakarta Timur Dki Jakarta</t>
  </si>
  <si>
    <t>Jl.  H.  Riman, Gandaria Rt 007 Rw 02 Nomor 74 7 12620  Jagakarsa Jakarta Selatan Dki Jakarta</t>
  </si>
  <si>
    <t>Bugel Mas Indah Blok C1 No. 27  Bugel Karawaci Tangerang Banten</t>
  </si>
  <si>
    <t>Jl. Sekolah, No. 57, Rt/Rw 10/2. Duri Kosambi Cengkareng Jakarta Barat Dki Jakarta</t>
  </si>
  <si>
    <t>Jl.Kramat Pulo Gg.Vi No.B51 Rt/Rw 003/003   Kramat  Senen Jakarta Pusat Dki Jakarta</t>
  </si>
  <si>
    <t xml:space="preserve">Pandansari RT 002 RW 007 Jururejo Ngawi    </t>
  </si>
  <si>
    <t>Jl Cihanjuang Gg M Idris No 141, Rt 004/005 40513 Cibabat Cimahi Utara Cimahi  Jawa Barat</t>
  </si>
  <si>
    <t>Jalan Anyelir Nomor Ee7 Kompleks Nyiur Melambai Ii Rawa Badak Utara  Koja Jakarta Utara Dki Jakarta</t>
  </si>
  <si>
    <t>Jl Raya Cikeruh No 21  Sayang Jatinangor Sumedang Jawa Barat</t>
  </si>
  <si>
    <t>Kp.Jungklang Rt/Rw.001/003 Ds.Pamekaran Kec. Kab. 41374  Banyusari Karawang Jawa Barat</t>
  </si>
  <si>
    <t>Pondok Tirta Mandala Blok N4 No.14  Sukamaju  Cilodong Depok Jawa Barat</t>
  </si>
  <si>
    <t>Jl. K.H. Syahdan Gg. Harun 2 No. 167 11480  Palmerah Jakarta Barat Dki Jakarta</t>
  </si>
  <si>
    <t>Rusun Rawabebek Pula Gebang Cakung  Jakarta Timur Dki Jakarta</t>
  </si>
  <si>
    <t>Kp Bojong Jengkol Rt 004/Rw 10 16710 Cilebut Barat Sukaraja Bogor Jawa Barat</t>
  </si>
  <si>
    <t>Jl. Sinabung Vii No 49 Rt 02/010. 16417 Abadijaya Sukmajaya Depok Jawa Barat</t>
  </si>
  <si>
    <t>Jl. Ancol Selatan No.2D Rt/Rw 002/01   14350 Sunter Agung Tanjung Priok Jakarta Utara Dki Jakarta</t>
  </si>
  <si>
    <t>Jalan Kedondong I No.08, Rt.10/Rw.006 14350 Sunter Jaya Tanjung Priok Jakarta Utara Dki Jakarta</t>
  </si>
  <si>
    <t>Jl. Tomang Pulo Rt 007/Rw 005 11430 Jati Pulo Palmerah Jakarta Barat Dki Jakarta</t>
  </si>
  <si>
    <t>Kp. Karang Salam Rt 04/06 Desa Pucung  41374  Kotabaru Karawang Jawa Barat</t>
  </si>
  <si>
    <t>Bintara Jaya Permai C.189, Rt 006/ Rw 011 17136 Bintara Jaya Bekasi Barat  Bekasi Jawa Barat</t>
  </si>
  <si>
    <t>Jl. Kebon Sayur I Rt 002/Rw 015 No.25 13330 Bidaracina Jatinegara  Jakarta Timur  Dki Jakarta</t>
  </si>
  <si>
    <t>Kp. Kapinango Rt/Rt 004/002 Desa. Kertasana 42265  Pagelaran Pandeglang Banten</t>
  </si>
  <si>
    <t>Jati Padang, Rt 2 Rw 6 No.41 10250  Pasar Minggu Jakarta Selatan Dki Jakarta</t>
  </si>
  <si>
    <t>Cakung Barat Rt 004 Rw 004 Cakung Barat Cakung  Jakarta Timur Dki Jakarta</t>
  </si>
  <si>
    <t>Kp Cibojong, Desa Balewangi 44163  Cisurupan Garut Jawa Barat</t>
  </si>
  <si>
    <t>Desa Cilongok Jalan Wijaya Ii Rt 003 Rw 004 52464  Balapulang Tegal Jawa Tengah</t>
  </si>
  <si>
    <t>Mampang bojong 02/14 Mampang Pancoran Mas Depok Jawa Barat</t>
  </si>
  <si>
    <t>Jl.otista raya cawang 1 RT 03 RW 12 Bidaracina Jatinegara Jakarta Timur Dki Jakarta</t>
  </si>
  <si>
    <t>Jalan kerinci 2 blok N3 No.36 villa tomang baru Gelam Jaya Pasar Kemis Tangerang Banten</t>
  </si>
  <si>
    <t>SDM</t>
  </si>
  <si>
    <t>01.589.098.1-023.000</t>
  </si>
  <si>
    <t xml:space="preserve">NPWP PERUSAHAAN </t>
  </si>
  <si>
    <t>Wahyu Mustajab</t>
  </si>
  <si>
    <t>Aisha Mutiara S.</t>
  </si>
  <si>
    <t>Radika Husaini</t>
  </si>
  <si>
    <t>Aug</t>
  </si>
  <si>
    <t>Naufal Nurrohman</t>
  </si>
  <si>
    <t>00.000.000.0-000.000</t>
  </si>
  <si>
    <t>26.475.764.2-412.000</t>
  </si>
  <si>
    <t>79.790.347.3-432.000</t>
  </si>
  <si>
    <t>54.822.536.6-005.000</t>
  </si>
  <si>
    <t>75.741.587.2-448.000</t>
  </si>
  <si>
    <t>Perum Beji Permai Blok H 29-30 Tanah Baru Beji Depok</t>
  </si>
  <si>
    <t>3674045911940001</t>
  </si>
  <si>
    <t>3171087005930001</t>
  </si>
  <si>
    <t>3212015710980001</t>
  </si>
  <si>
    <t>Jl. Cempaka Baru X Rt 06/Rw 07 No. 34, Kel. Cempaka Baru, Kec. Kemayoran, Jakpus</t>
  </si>
  <si>
    <t>Jl.Jengki Cipinang Asem 06/04, kebon pala, makassar</t>
  </si>
  <si>
    <t>Novia Eka Angraini</t>
  </si>
  <si>
    <t>Kp. Grogol sebrang No.52 RT 01/06 Limo Grogol Depok Jawa Barat</t>
  </si>
  <si>
    <t>Bella Tri Cahyani</t>
  </si>
  <si>
    <t>Blok negla Rt 014/004 Haurgeulis Indramayu</t>
  </si>
  <si>
    <t>Staff Kerjasama</t>
  </si>
  <si>
    <t>Taufan Teguh Akbari</t>
  </si>
  <si>
    <t>Indra Bayu Cahyadi</t>
  </si>
  <si>
    <t>Kepala Unit Kerja Sama</t>
  </si>
  <si>
    <t>Iblam X</t>
  </si>
  <si>
    <t>Muhammad Iin Bahrain</t>
  </si>
  <si>
    <t>Ibnu Mubarok</t>
  </si>
  <si>
    <t>Braponta Sembiring Pandia</t>
  </si>
  <si>
    <t>Dimas Hardianto Saputro</t>
  </si>
  <si>
    <t>Staff PT</t>
  </si>
  <si>
    <t>Driver</t>
  </si>
  <si>
    <t>Gross</t>
  </si>
  <si>
    <t>Nurfani Riadi</t>
  </si>
  <si>
    <t>3276767307930003</t>
  </si>
  <si>
    <t>Jl. Satria Iii No.112F. Rt 007 Rw 004 11467 Jelambar Grogol Petamburan Jakarta Barat Dki Jakarta</t>
  </si>
  <si>
    <t>3175082706721002</t>
  </si>
  <si>
    <t>3276746911980001</t>
  </si>
  <si>
    <t>3276764512700004</t>
  </si>
  <si>
    <t>3326784676967000</t>
  </si>
  <si>
    <t>3276755109970000</t>
  </si>
  <si>
    <t>3173022409967000</t>
  </si>
  <si>
    <t>3276751008830000</t>
  </si>
  <si>
    <t>3276765512840000</t>
  </si>
  <si>
    <t>3215257107967000</t>
  </si>
  <si>
    <t>3328041906700000</t>
  </si>
  <si>
    <t>3276762912940000</t>
  </si>
  <si>
    <t>3276761311870000</t>
  </si>
  <si>
    <t>3673122408950000</t>
  </si>
  <si>
    <t>3215244209967000</t>
  </si>
  <si>
    <t>3276711811970010</t>
  </si>
  <si>
    <t>3671094901980000</t>
  </si>
  <si>
    <t>3172024104967000</t>
  </si>
  <si>
    <t>Aisha Mutiara S</t>
  </si>
  <si>
    <t>Mario Agustian Lasut</t>
  </si>
  <si>
    <t>Shabrina Adani</t>
  </si>
  <si>
    <t xml:space="preserve">Mario Agustian Lasut </t>
  </si>
  <si>
    <t>Slamet</t>
  </si>
  <si>
    <t>Nama/Keterangan</t>
  </si>
  <si>
    <t>Riandy</t>
  </si>
  <si>
    <t>Ahmad Saiful Anwar</t>
  </si>
  <si>
    <t>Rifky Hendrawan</t>
  </si>
  <si>
    <t>Bagas Bintang Dwicahyo W</t>
  </si>
  <si>
    <t>Rista Hutammy Tularbi</t>
  </si>
  <si>
    <t>Septi Farania</t>
  </si>
  <si>
    <t>Septian Ardiansyah</t>
  </si>
  <si>
    <t>Farhandhika Nurrizki</t>
  </si>
  <si>
    <t>Lukmanul Hakim</t>
  </si>
  <si>
    <t>Umar Zaelani</t>
  </si>
  <si>
    <t>FATMA LELY HARTATI</t>
  </si>
  <si>
    <t>GERALDY FAHREZA</t>
  </si>
  <si>
    <t>RUSMIATI</t>
  </si>
  <si>
    <t>RISKAWATI</t>
  </si>
  <si>
    <t>EKO MINTARTI</t>
  </si>
  <si>
    <t>THERESIA MINARSIH</t>
  </si>
  <si>
    <t>LESTARIYANI</t>
  </si>
  <si>
    <t>Rista Huyammy Tularbi</t>
  </si>
  <si>
    <t>Fatma Lely Hartati</t>
  </si>
  <si>
    <t>Geraldy Fachriza</t>
  </si>
  <si>
    <t>Rusmiati</t>
  </si>
  <si>
    <t>Riskawati</t>
  </si>
  <si>
    <t>Eko Mintarti</t>
  </si>
  <si>
    <t>Theresia Minarsih</t>
  </si>
  <si>
    <t>Lestariyani</t>
  </si>
  <si>
    <t>M. Fajar Romadon</t>
  </si>
  <si>
    <t>Solihati</t>
  </si>
  <si>
    <t>Art Rasna</t>
  </si>
  <si>
    <t>Transport Istigosah</t>
  </si>
  <si>
    <t>Uang Lembur per, 3- 7 Januari 2022( umar, iyan, ) -cash</t>
  </si>
  <si>
    <t xml:space="preserve">Uang Lembur per,5 Januari 2022-  tf  wendy </t>
  </si>
  <si>
    <t xml:space="preserve">Piket Ob per, 10-14 Januari 2022 </t>
  </si>
  <si>
    <t>13 Jan 2022</t>
  </si>
  <si>
    <t>20 Jan 2022</t>
  </si>
  <si>
    <t xml:space="preserve">Piket Ob per, 17-21 Januari 2022 </t>
  </si>
  <si>
    <t>Tukang buat benerin aliran listrik ruko</t>
  </si>
  <si>
    <t xml:space="preserve">Keamanan  Ruko per, Januari 2022
	</t>
  </si>
  <si>
    <t>Kebersihan per, Januari 2022</t>
  </si>
  <si>
    <t>27 Jan 2022</t>
  </si>
  <si>
    <t>31 Jan 2022</t>
  </si>
  <si>
    <t>Aat Fatimatuzzahro</t>
  </si>
  <si>
    <t>Lidia Fitria Ningsih</t>
  </si>
  <si>
    <t>art dan bs</t>
  </si>
  <si>
    <t xml:space="preserve">Tarik tunai  @ 2/2/22 1.000.000 Untuk istigosah </t>
  </si>
  <si>
    <t>Lembur Ob per, 24-31 jan 2022- cash</t>
  </si>
  <si>
    <t>Piket OB per, 21-25 Februari 2022- cash fajar</t>
  </si>
  <si>
    <t>Transport istigosah ustad - cash ust asror</t>
  </si>
  <si>
    <t>Piket Ob per, 1-4 maret 2022- cash umar</t>
  </si>
  <si>
    <t>Piket Ob per, 7-11 maret 2022- cash fajar</t>
  </si>
  <si>
    <t>Piket OB per, 14-18 Maret 2022- cash umar</t>
  </si>
  <si>
    <t>Piket OB per, 21-25 Maret 2022- cash ob</t>
  </si>
  <si>
    <t xml:space="preserve">Iuran Suko inkopal per, Maret 2022- security </t>
  </si>
  <si>
    <t>Iuran kebersihan ruko inkopal  per, maret 2022- security</t>
  </si>
  <si>
    <t>art2</t>
  </si>
  <si>
    <t>Iuran Sampah per, Februari 2022- cash fajar</t>
  </si>
  <si>
    <t>Iuran Ruko Inkopal per, Februari 2022- cash Jeri scurity</t>
  </si>
  <si>
    <t>Ardan Moris Fendi Arjanggi</t>
  </si>
  <si>
    <t>DANDI</t>
  </si>
  <si>
    <t>Dandi</t>
  </si>
  <si>
    <t>Apr-THR</t>
  </si>
  <si>
    <t xml:space="preserve">April </t>
  </si>
  <si>
    <t>Istigosah - cash ust Asror</t>
  </si>
  <si>
    <t>Piket OB per, 28-31 maret 2022 dan lembur 2 april 2022 - tf umar</t>
  </si>
  <si>
    <t xml:space="preserve">THR security  Inkopal 9 orang @150.000- cash  pak Sofa </t>
  </si>
  <si>
    <t xml:space="preserve">THR Security Al Irsyad 3 orang @150.000- cash  security aris  </t>
  </si>
  <si>
    <t xml:space="preserve">SALARY APRIL 2022    INFAL 1/2 AWAL
Online Trf  346410 417701061735534Transfer Fee INFAL 1/2 AWAL"			</t>
  </si>
  <si>
    <t xml:space="preserve">salary dan thr Cook Bude Tarti
MCM InhouseTrf  KE EKO MINTARTI"			</t>
  </si>
  <si>
    <t xml:space="preserve">SALARY ART APRIL 2022
MCM InhouseTrf  KE GERALDY FAHREZA RUHENDAR"			</t>
  </si>
  <si>
    <t xml:space="preserve">titip salary thr ART Rasnawati 			</t>
  </si>
  <si>
    <t xml:space="preserve">salary april 2022 ART infal 1/2 awal </t>
  </si>
  <si>
    <t>titip salary dan thr art rasna (sisa)</t>
  </si>
  <si>
    <t>Hidya Anindyati</t>
  </si>
  <si>
    <t>Gali Ayuningtyas</t>
  </si>
  <si>
    <t>Hayyu Nurrafi Awalsari</t>
  </si>
  <si>
    <t>Gali Ayuningtiyas</t>
  </si>
  <si>
    <t>11 Mei 2022</t>
  </si>
  <si>
    <t>25 Mei 2022</t>
  </si>
  <si>
    <t>Ustad Istigosah 3 orang</t>
  </si>
  <si>
    <t>Piket OB per, 19- 31 Mei 2022 - tf umar</t>
  </si>
  <si>
    <t>Piket dan lembur  Bagian Umum  per, 7 - 12 juni 2022 - tf umar</t>
  </si>
  <si>
    <t>Lembur intalasi persiapan PTM tgl 11-12 Juni 2022- tf Ardan</t>
  </si>
  <si>
    <t>Uang Piket OB 13-17  dna Lembur 18-19 juni 2022- tf umar</t>
  </si>
  <si>
    <t>Piket OB per, 20-24 juni 2022- tf umar</t>
  </si>
  <si>
    <t>Heni Dwi Riyanti</t>
  </si>
  <si>
    <t>Mohammad Agus</t>
  </si>
  <si>
    <t>06 Jul 2022</t>
  </si>
  <si>
    <t>15 Jul 2022</t>
  </si>
  <si>
    <t>21 Jul 2022</t>
  </si>
  <si>
    <t>27 Jul 2022</t>
  </si>
  <si>
    <t>Ustad Istigosah- cash ustad</t>
  </si>
  <si>
    <t>Piket dan lembur Ob 27 juni - 2 juli 2022- tf umar</t>
  </si>
  <si>
    <t>Piket  4 juli-8 juli dna lembur 9 juli 2022- tf umar</t>
  </si>
  <si>
    <t>Piket dan lembur OB - Tf umar</t>
  </si>
  <si>
    <t>Piket dna lembur OB per 18 juli -23 juli 2022- tf umar</t>
  </si>
  <si>
    <t>Ustad Itigosah 10 orang @ 1.000.000</t>
  </si>
  <si>
    <t>Keamanan security Inkopal per, Juli 2022- cash</t>
  </si>
  <si>
    <t>Ustad istigosah</t>
  </si>
  <si>
    <t>Piket OB per 25-29 Juli 2022- cash iyan</t>
  </si>
  <si>
    <t>Piket Ob per, 1-5 Agust- tf fajar</t>
  </si>
  <si>
    <t>Piket dan lembur OB per 8-14 Agustus- tf fajar</t>
  </si>
  <si>
    <t>Piket dan lembur OB- tf fajar</t>
  </si>
  <si>
    <t>Tambahan uang lembur sabtu 20 agust- cash iyan</t>
  </si>
  <si>
    <t>01 Aug 2022</t>
  </si>
  <si>
    <t>03 Aug 2022</t>
  </si>
  <si>
    <t>08 Aug 2022</t>
  </si>
  <si>
    <t>11 Aug 2022</t>
  </si>
  <si>
    <t>18 Aug 2022</t>
  </si>
  <si>
    <t>29 Aug 2022</t>
  </si>
  <si>
    <t>Bulan ke</t>
  </si>
  <si>
    <t>Muhammad Syafei</t>
  </si>
  <si>
    <t>Septian Saputro</t>
  </si>
  <si>
    <t>Septian Tri Saputro</t>
  </si>
  <si>
    <t>Rohim Akbar</t>
  </si>
  <si>
    <t>Wahilul Syahid Rido</t>
  </si>
  <si>
    <t>Fauji Ashari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</si>
</sst>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[$-F800]dddd\,\ mmmm\ dd\,\ yyyy"/>
    <numFmt numFmtId="168" formatCode="[$-421]dd\ mmmm\ yyyy;@"/>
    <numFmt numFmtId="169" formatCode="_(* #,##0_);_(* \(#,##0\);_(* &quot;-&quot;??_);_(@_)"/>
    <numFmt numFmtId="170" formatCode="[$-409]d\-mmm\-yy;@"/>
    <numFmt numFmtId="171" formatCode="_(* #,##0.00_);_(* \(#,##0.00\);_(* &quot;-&quot;_);_(@_)"/>
    <numFmt numFmtId="172" formatCode="_-* #,##0_-;\-* #,##0_-;_-* &quot;-&quot;??_-;_-@_-"/>
  </numFmts>
  <fonts count="3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7" fontId="3" fillId="0" borderId="0"/>
    <xf numFmtId="165" fontId="5" fillId="0" borderId="0" applyFill="0" applyBorder="0" applyAlignment="0" applyProtection="0"/>
    <xf numFmtId="0" fontId="6" fillId="0" borderId="0" applyProtection="0"/>
    <xf numFmtId="166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7" fillId="0" borderId="0"/>
    <xf numFmtId="4" fontId="27" fillId="0" borderId="0">
      <alignment horizontal="left" vertical="top"/>
    </xf>
    <xf numFmtId="167" fontId="3" fillId="0" borderId="0"/>
    <xf numFmtId="165" fontId="3" fillId="0" borderId="0" applyFont="0" applyFill="0" applyBorder="0" applyAlignment="0" applyProtection="0"/>
  </cellStyleXfs>
  <cellXfs count="273">
    <xf numFmtId="0" fontId="0" fillId="0" borderId="0" xfId="0"/>
    <xf numFmtId="164" fontId="4" fillId="0" borderId="0" xfId="1" applyNumberFormat="1" applyFont="1"/>
    <xf numFmtId="0" fontId="4" fillId="0" borderId="0" xfId="0" applyFont="1" applyAlignment="1">
      <alignment vertical="center"/>
    </xf>
    <xf numFmtId="0" fontId="4" fillId="0" borderId="0" xfId="0" applyFont="1"/>
    <xf numFmtId="167" fontId="4" fillId="0" borderId="0" xfId="1" applyFont="1"/>
    <xf numFmtId="0" fontId="8" fillId="0" borderId="0" xfId="3" applyFont="1"/>
    <xf numFmtId="0" fontId="8" fillId="0" borderId="0" xfId="0" applyFont="1"/>
    <xf numFmtId="164" fontId="8" fillId="0" borderId="0" xfId="1" applyNumberFormat="1" applyFont="1" applyAlignment="1">
      <alignment vertical="top"/>
    </xf>
    <xf numFmtId="0" fontId="4" fillId="0" borderId="1" xfId="0" applyFont="1" applyBorder="1"/>
    <xf numFmtId="0" fontId="9" fillId="0" borderId="0" xfId="0" applyFont="1" applyAlignment="1">
      <alignment vertical="center"/>
    </xf>
    <xf numFmtId="0" fontId="9" fillId="0" borderId="0" xfId="0" applyFont="1"/>
    <xf numFmtId="0" fontId="4" fillId="6" borderId="0" xfId="0" applyFont="1" applyFill="1"/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Border="1"/>
    <xf numFmtId="165" fontId="13" fillId="0" borderId="1" xfId="0" applyNumberFormat="1" applyFont="1" applyBorder="1"/>
    <xf numFmtId="0" fontId="0" fillId="0" borderId="1" xfId="0" applyBorder="1" applyAlignment="1">
      <alignment horizontal="center"/>
    </xf>
    <xf numFmtId="167" fontId="4" fillId="0" borderId="0" xfId="1" quotePrefix="1" applyFont="1"/>
    <xf numFmtId="165" fontId="4" fillId="0" borderId="0" xfId="7" applyFont="1"/>
    <xf numFmtId="165" fontId="14" fillId="0" borderId="0" xfId="7" applyFont="1"/>
    <xf numFmtId="0" fontId="11" fillId="0" borderId="1" xfId="0" applyFont="1" applyBorder="1" applyAlignment="1">
      <alignment horizontal="center"/>
    </xf>
    <xf numFmtId="0" fontId="9" fillId="6" borderId="0" xfId="0" applyFont="1" applyFill="1" applyAlignment="1">
      <alignment vertical="center"/>
    </xf>
    <xf numFmtId="165" fontId="0" fillId="0" borderId="0" xfId="0" applyNumberFormat="1"/>
    <xf numFmtId="0" fontId="14" fillId="0" borderId="0" xfId="0" applyFont="1"/>
    <xf numFmtId="167" fontId="14" fillId="0" borderId="0" xfId="1" applyFont="1"/>
    <xf numFmtId="164" fontId="14" fillId="0" borderId="0" xfId="1" applyNumberFormat="1" applyFont="1"/>
    <xf numFmtId="0" fontId="14" fillId="0" borderId="1" xfId="0" applyFont="1" applyBorder="1"/>
    <xf numFmtId="0" fontId="14" fillId="2" borderId="1" xfId="1" applyNumberFormat="1" applyFont="1" applyFill="1" applyBorder="1" applyAlignment="1">
      <alignment horizontal="center" vertical="center"/>
    </xf>
    <xf numFmtId="167" fontId="8" fillId="2" borderId="1" xfId="1" applyFont="1" applyFill="1" applyBorder="1" applyAlignment="1">
      <alignment horizontal="center" vertical="center" wrapText="1"/>
    </xf>
    <xf numFmtId="164" fontId="8" fillId="3" borderId="1" xfId="4" applyNumberFormat="1" applyFont="1" applyFill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/>
    </xf>
    <xf numFmtId="167" fontId="14" fillId="0" borderId="1" xfId="1" applyFont="1" applyBorder="1" applyAlignment="1">
      <alignment wrapText="1"/>
    </xf>
    <xf numFmtId="165" fontId="14" fillId="0" borderId="1" xfId="2" applyFont="1" applyBorder="1"/>
    <xf numFmtId="165" fontId="14" fillId="0" borderId="1" xfId="2" applyFont="1" applyFill="1" applyBorder="1" applyAlignment="1">
      <alignment wrapText="1"/>
    </xf>
    <xf numFmtId="0" fontId="14" fillId="0" borderId="1" xfId="1" applyNumberFormat="1" applyFont="1" applyBorder="1" applyAlignment="1">
      <alignment horizontal="center" vertical="center"/>
    </xf>
    <xf numFmtId="167" fontId="14" fillId="0" borderId="1" xfId="1" applyFont="1" applyBorder="1" applyAlignment="1">
      <alignment vertical="center" wrapText="1"/>
    </xf>
    <xf numFmtId="165" fontId="14" fillId="0" borderId="1" xfId="2" applyFont="1" applyBorder="1" applyAlignment="1">
      <alignment vertical="center"/>
    </xf>
    <xf numFmtId="165" fontId="14" fillId="0" borderId="1" xfId="2" applyFont="1" applyFill="1" applyBorder="1" applyAlignment="1"/>
    <xf numFmtId="165" fontId="14" fillId="0" borderId="1" xfId="2" applyFont="1" applyBorder="1" applyAlignment="1"/>
    <xf numFmtId="167" fontId="8" fillId="0" borderId="1" xfId="1" applyFont="1" applyBorder="1" applyAlignment="1">
      <alignment wrapText="1"/>
    </xf>
    <xf numFmtId="165" fontId="8" fillId="0" borderId="1" xfId="2" applyFont="1" applyBorder="1" applyAlignment="1"/>
    <xf numFmtId="0" fontId="8" fillId="0" borderId="1" xfId="1" applyNumberFormat="1" applyFont="1" applyBorder="1" applyAlignment="1">
      <alignment horizontal="center" vertical="center"/>
    </xf>
    <xf numFmtId="167" fontId="8" fillId="0" borderId="1" xfId="1" applyFont="1" applyBorder="1" applyAlignment="1">
      <alignment horizontal="left" vertical="center" wrapText="1"/>
    </xf>
    <xf numFmtId="165" fontId="8" fillId="0" borderId="1" xfId="2" applyFont="1" applyFill="1" applyBorder="1" applyAlignment="1">
      <alignment vertical="center"/>
    </xf>
    <xf numFmtId="165" fontId="8" fillId="0" borderId="1" xfId="2" applyFont="1" applyBorder="1" applyAlignment="1">
      <alignment vertical="center"/>
    </xf>
    <xf numFmtId="165" fontId="14" fillId="0" borderId="1" xfId="5" applyFont="1" applyFill="1" applyBorder="1" applyAlignment="1"/>
    <xf numFmtId="165" fontId="14" fillId="0" borderId="1" xfId="5" applyFont="1" applyBorder="1" applyAlignment="1"/>
    <xf numFmtId="0" fontId="14" fillId="0" borderId="1" xfId="1" applyNumberFormat="1" applyFont="1" applyBorder="1" applyAlignment="1">
      <alignment vertical="center"/>
    </xf>
    <xf numFmtId="165" fontId="14" fillId="0" borderId="1" xfId="2" applyFont="1" applyFill="1" applyBorder="1" applyAlignment="1">
      <alignment horizontal="right"/>
    </xf>
    <xf numFmtId="167" fontId="8" fillId="0" borderId="1" xfId="1" applyFont="1" applyBorder="1" applyAlignment="1">
      <alignment vertical="center" wrapText="1"/>
    </xf>
    <xf numFmtId="165" fontId="8" fillId="0" borderId="1" xfId="2" applyFont="1" applyFill="1" applyBorder="1" applyAlignment="1">
      <alignment vertical="center" wrapText="1"/>
    </xf>
    <xf numFmtId="0" fontId="14" fillId="8" borderId="1" xfId="1" applyNumberFormat="1" applyFont="1" applyFill="1" applyBorder="1" applyAlignment="1">
      <alignment horizontal="center"/>
    </xf>
    <xf numFmtId="167" fontId="14" fillId="8" borderId="1" xfId="1" applyFont="1" applyFill="1" applyBorder="1" applyAlignment="1">
      <alignment wrapText="1"/>
    </xf>
    <xf numFmtId="165" fontId="14" fillId="8" borderId="1" xfId="2" applyFont="1" applyFill="1" applyBorder="1" applyAlignment="1"/>
    <xf numFmtId="165" fontId="8" fillId="8" borderId="1" xfId="2" applyFont="1" applyFill="1" applyBorder="1" applyAlignment="1"/>
    <xf numFmtId="0" fontId="4" fillId="8" borderId="0" xfId="0" applyFont="1" applyFill="1"/>
    <xf numFmtId="165" fontId="14" fillId="8" borderId="1" xfId="5" applyFont="1" applyFill="1" applyBorder="1" applyAlignment="1"/>
    <xf numFmtId="0" fontId="8" fillId="8" borderId="1" xfId="1" applyNumberFormat="1" applyFont="1" applyFill="1" applyBorder="1" applyAlignment="1">
      <alignment horizontal="center"/>
    </xf>
    <xf numFmtId="167" fontId="8" fillId="8" borderId="1" xfId="1" applyFont="1" applyFill="1" applyBorder="1" applyAlignment="1">
      <alignment wrapText="1"/>
    </xf>
    <xf numFmtId="165" fontId="8" fillId="8" borderId="1" xfId="2" applyFont="1" applyFill="1" applyBorder="1" applyAlignment="1">
      <alignment vertical="center"/>
    </xf>
    <xf numFmtId="0" fontId="9" fillId="8" borderId="0" xfId="0" applyFont="1" applyFill="1"/>
    <xf numFmtId="165" fontId="14" fillId="8" borderId="1" xfId="5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18" fillId="0" borderId="1" xfId="11" quotePrefix="1" applyFont="1" applyBorder="1" applyAlignment="1">
      <alignment vertical="center"/>
    </xf>
    <xf numFmtId="0" fontId="18" fillId="0" borderId="1" xfId="11" applyFont="1" applyBorder="1" applyAlignment="1">
      <alignment vertical="center" wrapText="1"/>
    </xf>
    <xf numFmtId="0" fontId="19" fillId="5" borderId="1" xfId="11" applyFont="1" applyFill="1" applyBorder="1" applyAlignment="1">
      <alignment horizontal="center" vertical="center"/>
    </xf>
    <xf numFmtId="49" fontId="19" fillId="5" borderId="1" xfId="11" applyNumberFormat="1" applyFont="1" applyFill="1" applyBorder="1" applyAlignment="1">
      <alignment horizontal="center" vertical="center"/>
    </xf>
    <xf numFmtId="0" fontId="20" fillId="5" borderId="1" xfId="11" applyFont="1" applyFill="1" applyBorder="1" applyAlignment="1">
      <alignment horizontal="left" vertical="center"/>
    </xf>
    <xf numFmtId="0" fontId="21" fillId="0" borderId="0" xfId="11" applyFont="1" applyAlignment="1">
      <alignment horizontal="center" vertical="center"/>
    </xf>
    <xf numFmtId="0" fontId="18" fillId="0" borderId="1" xfId="11" quotePrefix="1" applyFont="1" applyBorder="1" applyAlignment="1">
      <alignment horizontal="left" vertical="center"/>
    </xf>
    <xf numFmtId="0" fontId="15" fillId="0" borderId="1" xfId="11" applyFont="1" applyBorder="1" applyAlignment="1">
      <alignment horizontal="left" vertical="center"/>
    </xf>
    <xf numFmtId="0" fontId="15" fillId="0" borderId="1" xfId="11" applyFont="1" applyBorder="1" applyAlignment="1">
      <alignment horizontal="left" vertical="center" wrapText="1"/>
    </xf>
    <xf numFmtId="0" fontId="15" fillId="0" borderId="1" xfId="11" applyFont="1" applyBorder="1" applyAlignment="1">
      <alignment horizontal="center" vertical="center"/>
    </xf>
    <xf numFmtId="0" fontId="15" fillId="0" borderId="1" xfId="11" quotePrefix="1" applyFont="1" applyBorder="1" applyAlignment="1">
      <alignment horizontal="left" vertical="center" wrapText="1"/>
    </xf>
    <xf numFmtId="0" fontId="18" fillId="0" borderId="1" xfId="11" applyFont="1" applyBorder="1" applyAlignment="1">
      <alignment horizontal="left" vertical="center"/>
    </xf>
    <xf numFmtId="0" fontId="18" fillId="0" borderId="0" xfId="11" applyFont="1" applyAlignment="1">
      <alignment horizontal="left" vertical="center"/>
    </xf>
    <xf numFmtId="0" fontId="15" fillId="0" borderId="1" xfId="11" applyFont="1" applyBorder="1" applyAlignment="1">
      <alignment horizontal="center" vertical="center" wrapText="1"/>
    </xf>
    <xf numFmtId="0" fontId="15" fillId="0" borderId="1" xfId="11" quotePrefix="1" applyFont="1" applyBorder="1" applyAlignment="1">
      <alignment horizontal="left" vertical="center"/>
    </xf>
    <xf numFmtId="49" fontId="18" fillId="0" borderId="1" xfId="11" applyNumberFormat="1" applyFont="1" applyBorder="1" applyAlignment="1">
      <alignment vertical="center"/>
    </xf>
    <xf numFmtId="0" fontId="18" fillId="0" borderId="1" xfId="11" applyFont="1" applyBorder="1" applyAlignment="1">
      <alignment horizontal="center" vertical="center"/>
    </xf>
    <xf numFmtId="0" fontId="22" fillId="0" borderId="1" xfId="11" quotePrefix="1" applyFont="1" applyBorder="1" applyAlignment="1">
      <alignment horizontal="left" vertical="center"/>
    </xf>
    <xf numFmtId="0" fontId="18" fillId="0" borderId="1" xfId="11" applyFont="1" applyBorder="1" applyAlignment="1">
      <alignment vertical="center"/>
    </xf>
    <xf numFmtId="0" fontId="23" fillId="0" borderId="1" xfId="11" quotePrefix="1" applyFont="1" applyBorder="1" applyAlignment="1">
      <alignment horizontal="left" vertical="center"/>
    </xf>
    <xf numFmtId="49" fontId="18" fillId="0" borderId="1" xfId="11" applyNumberFormat="1" applyFont="1" applyBorder="1" applyAlignment="1">
      <alignment horizontal="left" vertical="center"/>
    </xf>
    <xf numFmtId="0" fontId="18" fillId="0" borderId="1" xfId="11" applyFont="1" applyBorder="1" applyAlignment="1">
      <alignment horizontal="left" vertical="center" wrapText="1"/>
    </xf>
    <xf numFmtId="0" fontId="18" fillId="0" borderId="0" xfId="11" applyFont="1" applyAlignment="1">
      <alignment vertical="center"/>
    </xf>
    <xf numFmtId="16" fontId="15" fillId="0" borderId="1" xfId="11" applyNumberFormat="1" applyFont="1" applyBorder="1" applyAlignment="1">
      <alignment horizontal="left" vertical="center"/>
    </xf>
    <xf numFmtId="0" fontId="18" fillId="0" borderId="0" xfId="11" applyFont="1"/>
    <xf numFmtId="49" fontId="18" fillId="0" borderId="0" xfId="11" applyNumberFormat="1" applyFont="1"/>
    <xf numFmtId="0" fontId="18" fillId="0" borderId="0" xfId="11" applyFont="1" applyAlignment="1">
      <alignment horizontal="center" vertical="center"/>
    </xf>
    <xf numFmtId="0" fontId="22" fillId="0" borderId="0" xfId="11" applyFont="1" applyAlignment="1">
      <alignment horizontal="left"/>
    </xf>
    <xf numFmtId="169" fontId="14" fillId="0" borderId="1" xfId="8" applyNumberFormat="1" applyFont="1" applyBorder="1"/>
    <xf numFmtId="165" fontId="4" fillId="0" borderId="0" xfId="7" applyFont="1" applyFill="1"/>
    <xf numFmtId="165" fontId="5" fillId="0" borderId="0" xfId="7" applyFont="1"/>
    <xf numFmtId="165" fontId="8" fillId="0" borderId="0" xfId="7" applyFont="1" applyFill="1" applyAlignment="1">
      <alignment vertical="top"/>
    </xf>
    <xf numFmtId="165" fontId="14" fillId="0" borderId="0" xfId="7" applyFont="1" applyFill="1"/>
    <xf numFmtId="165" fontId="8" fillId="3" borderId="1" xfId="7" applyFont="1" applyFill="1" applyBorder="1" applyAlignment="1">
      <alignment horizontal="center" vertical="center"/>
    </xf>
    <xf numFmtId="165" fontId="14" fillId="0" borderId="1" xfId="7" applyFont="1" applyBorder="1"/>
    <xf numFmtId="165" fontId="14" fillId="0" borderId="1" xfId="7" applyFont="1" applyFill="1" applyBorder="1" applyAlignment="1">
      <alignment wrapText="1"/>
    </xf>
    <xf numFmtId="165" fontId="14" fillId="0" borderId="1" xfId="7" applyFont="1" applyFill="1" applyBorder="1" applyAlignment="1"/>
    <xf numFmtId="165" fontId="14" fillId="0" borderId="1" xfId="7" applyFont="1" applyBorder="1" applyAlignment="1"/>
    <xf numFmtId="165" fontId="14" fillId="0" borderId="1" xfId="7" applyFont="1" applyFill="1" applyBorder="1"/>
    <xf numFmtId="165" fontId="14" fillId="8" borderId="1" xfId="7" applyFont="1" applyFill="1" applyBorder="1" applyAlignment="1"/>
    <xf numFmtId="165" fontId="8" fillId="8" borderId="1" xfId="7" applyFont="1" applyFill="1" applyBorder="1" applyAlignment="1"/>
    <xf numFmtId="165" fontId="8" fillId="0" borderId="1" xfId="7" applyFont="1" applyBorder="1" applyAlignment="1"/>
    <xf numFmtId="165" fontId="8" fillId="0" borderId="1" xfId="7" applyFont="1" applyFill="1" applyBorder="1" applyAlignment="1">
      <alignment vertical="center"/>
    </xf>
    <xf numFmtId="165" fontId="8" fillId="0" borderId="1" xfId="7" applyFont="1" applyBorder="1" applyAlignment="1">
      <alignment vertical="center"/>
    </xf>
    <xf numFmtId="165" fontId="8" fillId="8" borderId="1" xfId="7" applyFont="1" applyFill="1" applyBorder="1" applyAlignment="1">
      <alignment vertical="center"/>
    </xf>
    <xf numFmtId="165" fontId="14" fillId="8" borderId="1" xfId="7" applyFont="1" applyFill="1" applyBorder="1" applyAlignment="1">
      <alignment horizontal="center"/>
    </xf>
    <xf numFmtId="165" fontId="14" fillId="8" borderId="1" xfId="7" applyFont="1" applyFill="1" applyBorder="1" applyAlignment="1">
      <alignment wrapText="1"/>
    </xf>
    <xf numFmtId="165" fontId="13" fillId="0" borderId="1" xfId="7" applyFont="1" applyFill="1" applyBorder="1"/>
    <xf numFmtId="165" fontId="14" fillId="0" borderId="1" xfId="7" applyFont="1" applyFill="1" applyBorder="1" applyAlignment="1">
      <alignment horizontal="right"/>
    </xf>
    <xf numFmtId="165" fontId="8" fillId="0" borderId="1" xfId="7" applyFont="1" applyFill="1" applyBorder="1" applyAlignment="1">
      <alignment vertical="center" wrapText="1"/>
    </xf>
    <xf numFmtId="165" fontId="10" fillId="0" borderId="0" xfId="7" applyFont="1"/>
    <xf numFmtId="165" fontId="8" fillId="0" borderId="1" xfId="7" applyFont="1" applyBorder="1" applyAlignment="1">
      <alignment horizontal="center"/>
    </xf>
    <xf numFmtId="165" fontId="8" fillId="0" borderId="0" xfId="7" applyFont="1" applyAlignment="1">
      <alignment horizontal="center"/>
    </xf>
    <xf numFmtId="165" fontId="8" fillId="0" borderId="0" xfId="7" applyFont="1" applyFill="1" applyAlignment="1">
      <alignment horizontal="center"/>
    </xf>
    <xf numFmtId="165" fontId="7" fillId="0" borderId="0" xfId="7" applyFont="1" applyAlignment="1">
      <alignment horizontal="center"/>
    </xf>
    <xf numFmtId="3" fontId="4" fillId="0" borderId="1" xfId="0" applyNumberFormat="1" applyFont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8" fillId="8" borderId="1" xfId="7" applyFont="1" applyFill="1" applyBorder="1" applyAlignment="1">
      <alignment horizontal="center" vertical="center"/>
    </xf>
    <xf numFmtId="165" fontId="14" fillId="8" borderId="1" xfId="7" applyFont="1" applyFill="1" applyBorder="1"/>
    <xf numFmtId="165" fontId="14" fillId="0" borderId="1" xfId="7" applyFont="1" applyBorder="1" applyAlignment="1">
      <alignment vertical="center"/>
    </xf>
    <xf numFmtId="165" fontId="14" fillId="8" borderId="1" xfId="7" applyFont="1" applyFill="1" applyBorder="1" applyAlignment="1">
      <alignment vertical="center" wrapText="1"/>
    </xf>
    <xf numFmtId="165" fontId="8" fillId="8" borderId="1" xfId="7" applyFont="1" applyFill="1" applyBorder="1" applyAlignment="1">
      <alignment vertical="center" wrapText="1"/>
    </xf>
    <xf numFmtId="165" fontId="4" fillId="0" borderId="1" xfId="7" applyFont="1" applyFill="1" applyBorder="1"/>
    <xf numFmtId="165" fontId="10" fillId="0" borderId="0" xfId="7" applyFont="1" applyFill="1"/>
    <xf numFmtId="165" fontId="8" fillId="8" borderId="1" xfId="7" applyFont="1" applyFill="1" applyBorder="1" applyAlignment="1">
      <alignment wrapText="1"/>
    </xf>
    <xf numFmtId="165" fontId="4" fillId="8" borderId="0" xfId="0" applyNumberFormat="1" applyFont="1" applyFill="1"/>
    <xf numFmtId="165" fontId="9" fillId="8" borderId="0" xfId="0" applyNumberFormat="1" applyFont="1" applyFill="1"/>
    <xf numFmtId="165" fontId="13" fillId="8" borderId="1" xfId="7" applyFont="1" applyFill="1" applyBorder="1" applyAlignment="1">
      <alignment wrapText="1"/>
    </xf>
    <xf numFmtId="167" fontId="4" fillId="4" borderId="0" xfId="1" applyFont="1" applyFill="1"/>
    <xf numFmtId="0" fontId="14" fillId="8" borderId="0" xfId="0" applyFont="1" applyFill="1"/>
    <xf numFmtId="0" fontId="15" fillId="0" borderId="1" xfId="0" applyFont="1" applyBorder="1" applyAlignment="1">
      <alignment horizontal="left"/>
    </xf>
    <xf numFmtId="165" fontId="12" fillId="7" borderId="1" xfId="7" applyFont="1" applyFill="1" applyBorder="1" applyAlignment="1">
      <alignment horizontal="center" vertical="center" wrapText="1"/>
    </xf>
    <xf numFmtId="165" fontId="0" fillId="0" borderId="1" xfId="7" applyFont="1" applyBorder="1"/>
    <xf numFmtId="165" fontId="0" fillId="0" borderId="0" xfId="7" applyFont="1"/>
    <xf numFmtId="0" fontId="11" fillId="0" borderId="0" xfId="0" applyFont="1"/>
    <xf numFmtId="165" fontId="11" fillId="0" borderId="1" xfId="7" applyFont="1" applyBorder="1"/>
    <xf numFmtId="0" fontId="4" fillId="0" borderId="0" xfId="0" quotePrefix="1" applyFont="1"/>
    <xf numFmtId="0" fontId="0" fillId="0" borderId="4" xfId="0" applyBorder="1"/>
    <xf numFmtId="169" fontId="26" fillId="0" borderId="0" xfId="9" applyNumberFormat="1" applyFont="1" applyFill="1" applyBorder="1" applyAlignment="1">
      <alignment vertical="center"/>
    </xf>
    <xf numFmtId="170" fontId="12" fillId="7" borderId="1" xfId="0" applyNumberFormat="1" applyFont="1" applyFill="1" applyBorder="1" applyAlignment="1">
      <alignment horizontal="center" vertical="center" wrapText="1"/>
    </xf>
    <xf numFmtId="170" fontId="0" fillId="0" borderId="1" xfId="0" applyNumberFormat="1" applyBorder="1" applyAlignment="1">
      <alignment horizontal="center"/>
    </xf>
    <xf numFmtId="170" fontId="11" fillId="0" borderId="1" xfId="0" applyNumberFormat="1" applyFont="1" applyBorder="1" applyAlignment="1">
      <alignment horizontal="center"/>
    </xf>
    <xf numFmtId="170" fontId="0" fillId="0" borderId="0" xfId="0" applyNumberFormat="1"/>
    <xf numFmtId="170" fontId="4" fillId="0" borderId="0" xfId="0" applyNumberFormat="1" applyFont="1"/>
    <xf numFmtId="41" fontId="14" fillId="0" borderId="1" xfId="7" applyNumberFormat="1" applyFont="1" applyBorder="1"/>
    <xf numFmtId="41" fontId="14" fillId="0" borderId="1" xfId="8" applyNumberFormat="1" applyFont="1" applyBorder="1"/>
    <xf numFmtId="41" fontId="14" fillId="0" borderId="1" xfId="2" applyNumberFormat="1" applyFont="1" applyFill="1" applyBorder="1" applyAlignment="1">
      <alignment wrapText="1"/>
    </xf>
    <xf numFmtId="0" fontId="24" fillId="0" borderId="2" xfId="0" quotePrefix="1" applyFont="1" applyBorder="1" applyAlignment="1">
      <alignment horizontal="center"/>
    </xf>
    <xf numFmtId="0" fontId="24" fillId="0" borderId="1" xfId="0" quotePrefix="1" applyFont="1" applyBorder="1" applyAlignment="1">
      <alignment horizontal="center"/>
    </xf>
    <xf numFmtId="1" fontId="25" fillId="0" borderId="2" xfId="0" applyNumberFormat="1" applyFont="1" applyBorder="1" applyAlignment="1">
      <alignment horizontal="center"/>
    </xf>
    <xf numFmtId="168" fontId="24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1" fontId="4" fillId="0" borderId="0" xfId="7" applyNumberFormat="1" applyFont="1" applyFill="1"/>
    <xf numFmtId="43" fontId="4" fillId="0" borderId="0" xfId="0" applyNumberFormat="1" applyFont="1"/>
    <xf numFmtId="170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/>
    </xf>
    <xf numFmtId="169" fontId="26" fillId="0" borderId="1" xfId="9" applyNumberFormat="1" applyFont="1" applyFill="1" applyBorder="1" applyAlignment="1">
      <alignment vertical="center"/>
    </xf>
    <xf numFmtId="172" fontId="0" fillId="0" borderId="1" xfId="7" applyNumberFormat="1" applyFont="1" applyBorder="1"/>
    <xf numFmtId="172" fontId="26" fillId="0" borderId="0" xfId="9" applyNumberFormat="1" applyFont="1" applyFill="1" applyBorder="1" applyAlignment="1">
      <alignment vertical="center"/>
    </xf>
    <xf numFmtId="172" fontId="0" fillId="0" borderId="0" xfId="8" applyNumberFormat="1" applyFont="1" applyFill="1"/>
    <xf numFmtId="172" fontId="14" fillId="0" borderId="1" xfId="7" applyNumberFormat="1" applyFont="1" applyBorder="1"/>
    <xf numFmtId="172" fontId="0" fillId="0" borderId="1" xfId="8" applyNumberFormat="1" applyFont="1" applyFill="1" applyBorder="1"/>
    <xf numFmtId="172" fontId="14" fillId="0" borderId="1" xfId="8" applyNumberFormat="1" applyFont="1" applyBorder="1"/>
    <xf numFmtId="172" fontId="0" fillId="0" borderId="5" xfId="7" applyNumberFormat="1" applyFont="1" applyBorder="1"/>
    <xf numFmtId="0" fontId="26" fillId="0" borderId="1" xfId="0" applyFont="1" applyBorder="1" applyAlignment="1">
      <alignment vertical="center"/>
    </xf>
    <xf numFmtId="0" fontId="26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165" fontId="25" fillId="0" borderId="1" xfId="7" applyFont="1" applyFill="1" applyBorder="1" applyAlignment="1"/>
    <xf numFmtId="165" fontId="24" fillId="0" borderId="1" xfId="7" quotePrefix="1" applyFont="1" applyFill="1" applyBorder="1" applyAlignment="1"/>
    <xf numFmtId="165" fontId="24" fillId="0" borderId="1" xfId="7" applyFont="1" applyFill="1" applyBorder="1"/>
    <xf numFmtId="165" fontId="25" fillId="0" borderId="1" xfId="7" applyFont="1" applyFill="1" applyBorder="1"/>
    <xf numFmtId="165" fontId="24" fillId="0" borderId="1" xfId="7" applyFont="1" applyFill="1" applyBorder="1" applyAlignment="1"/>
    <xf numFmtId="168" fontId="24" fillId="0" borderId="1" xfId="0" applyNumberFormat="1" applyFont="1" applyBorder="1"/>
    <xf numFmtId="1" fontId="25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center"/>
    </xf>
    <xf numFmtId="168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left"/>
    </xf>
    <xf numFmtId="165" fontId="24" fillId="0" borderId="0" xfId="7" applyFont="1" applyFill="1"/>
    <xf numFmtId="165" fontId="24" fillId="0" borderId="0" xfId="0" applyNumberFormat="1" applyFont="1"/>
    <xf numFmtId="0" fontId="28" fillId="5" borderId="3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168" fontId="28" fillId="5" borderId="1" xfId="0" applyNumberFormat="1" applyFont="1" applyFill="1" applyBorder="1" applyAlignment="1">
      <alignment horizontal="center" vertical="center"/>
    </xf>
    <xf numFmtId="14" fontId="28" fillId="5" borderId="1" xfId="0" applyNumberFormat="1" applyFont="1" applyFill="1" applyBorder="1" applyAlignment="1">
      <alignment horizontal="center" vertical="center"/>
    </xf>
    <xf numFmtId="0" fontId="28" fillId="5" borderId="2" xfId="0" applyFont="1" applyFill="1" applyBorder="1" applyAlignment="1">
      <alignment horizontal="center" vertical="center"/>
    </xf>
    <xf numFmtId="165" fontId="28" fillId="5" borderId="1" xfId="7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65" fontId="7" fillId="5" borderId="1" xfId="7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1" xfId="0" quotePrefix="1" applyFont="1" applyBorder="1"/>
    <xf numFmtId="0" fontId="29" fillId="0" borderId="1" xfId="11" quotePrefix="1" applyFont="1" applyBorder="1" applyAlignment="1">
      <alignment vertical="center"/>
    </xf>
    <xf numFmtId="0" fontId="24" fillId="0" borderId="1" xfId="0" applyFont="1" applyBorder="1"/>
    <xf numFmtId="168" fontId="24" fillId="0" borderId="1" xfId="0" quotePrefix="1" applyNumberFormat="1" applyFont="1" applyBorder="1" applyAlignment="1">
      <alignment horizontal="center"/>
    </xf>
    <xf numFmtId="14" fontId="24" fillId="0" borderId="1" xfId="0" applyNumberFormat="1" applyFont="1" applyBorder="1" applyAlignment="1">
      <alignment horizontal="center"/>
    </xf>
    <xf numFmtId="0" fontId="29" fillId="0" borderId="1" xfId="11" applyFont="1" applyBorder="1" applyAlignment="1">
      <alignment horizontal="left" vertical="center"/>
    </xf>
    <xf numFmtId="0" fontId="29" fillId="0" borderId="2" xfId="11" applyFont="1" applyBorder="1" applyAlignment="1">
      <alignment horizontal="left" vertical="center"/>
    </xf>
    <xf numFmtId="0" fontId="29" fillId="10" borderId="1" xfId="11" applyFont="1" applyFill="1" applyBorder="1" applyAlignment="1">
      <alignment horizontal="center" vertical="center"/>
    </xf>
    <xf numFmtId="0" fontId="24" fillId="0" borderId="2" xfId="0" applyFont="1" applyBorder="1"/>
    <xf numFmtId="168" fontId="24" fillId="0" borderId="2" xfId="0" applyNumberFormat="1" applyFont="1" applyBorder="1" applyAlignment="1">
      <alignment horizontal="center" vertical="center"/>
    </xf>
    <xf numFmtId="168" fontId="24" fillId="0" borderId="2" xfId="0" applyNumberFormat="1" applyFont="1" applyBorder="1"/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center"/>
    </xf>
    <xf numFmtId="168" fontId="24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9" fillId="9" borderId="1" xfId="11" applyFont="1" applyFill="1" applyBorder="1" applyAlignment="1">
      <alignment horizontal="center" vertical="center"/>
    </xf>
    <xf numFmtId="17" fontId="24" fillId="0" borderId="1" xfId="0" applyNumberFormat="1" applyFont="1" applyBorder="1" applyAlignment="1">
      <alignment horizontal="center"/>
    </xf>
    <xf numFmtId="167" fontId="25" fillId="0" borderId="1" xfId="1" quotePrefix="1" applyFont="1" applyBorder="1" applyAlignment="1">
      <alignment horizontal="center"/>
    </xf>
    <xf numFmtId="167" fontId="25" fillId="0" borderId="1" xfId="1" applyFont="1" applyBorder="1" applyAlignment="1">
      <alignment horizontal="center"/>
    </xf>
    <xf numFmtId="168" fontId="24" fillId="0" borderId="1" xfId="0" applyNumberFormat="1" applyFont="1" applyBorder="1" applyAlignment="1">
      <alignment horizontal="center" vertical="center"/>
    </xf>
    <xf numFmtId="14" fontId="24" fillId="0" borderId="1" xfId="0" quotePrefix="1" applyNumberFormat="1" applyFont="1" applyBorder="1" applyAlignment="1">
      <alignment horizontal="center"/>
    </xf>
    <xf numFmtId="0" fontId="29" fillId="0" borderId="1" xfId="11" applyFont="1" applyBorder="1" applyAlignment="1">
      <alignment horizontal="center" vertical="center"/>
    </xf>
    <xf numFmtId="165" fontId="24" fillId="0" borderId="1" xfId="7" applyFont="1" applyFill="1" applyBorder="1" applyAlignment="1">
      <alignment horizontal="center"/>
    </xf>
    <xf numFmtId="165" fontId="24" fillId="0" borderId="1" xfId="7" applyFont="1" applyFill="1" applyBorder="1" applyAlignment="1">
      <alignment horizontal="left"/>
    </xf>
    <xf numFmtId="0" fontId="24" fillId="4" borderId="1" xfId="0" applyFont="1" applyFill="1" applyBorder="1"/>
    <xf numFmtId="0" fontId="24" fillId="4" borderId="2" xfId="0" applyFont="1" applyFill="1" applyBorder="1" applyAlignment="1">
      <alignment horizontal="center"/>
    </xf>
    <xf numFmtId="168" fontId="24" fillId="4" borderId="1" xfId="0" applyNumberFormat="1" applyFont="1" applyFill="1" applyBorder="1"/>
    <xf numFmtId="14" fontId="24" fillId="4" borderId="1" xfId="0" applyNumberFormat="1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165" fontId="24" fillId="4" borderId="1" xfId="0" applyNumberFormat="1" applyFont="1" applyFill="1" applyBorder="1" applyAlignment="1">
      <alignment horizontal="left"/>
    </xf>
    <xf numFmtId="165" fontId="24" fillId="4" borderId="1" xfId="0" applyNumberFormat="1" applyFont="1" applyFill="1" applyBorder="1" applyAlignment="1">
      <alignment horizontal="center"/>
    </xf>
    <xf numFmtId="165" fontId="24" fillId="4" borderId="1" xfId="0" applyNumberFormat="1" applyFont="1" applyFill="1" applyBorder="1"/>
    <xf numFmtId="168" fontId="24" fillId="0" borderId="0" xfId="0" applyNumberFormat="1" applyFont="1"/>
    <xf numFmtId="14" fontId="24" fillId="0" borderId="0" xfId="0" applyNumberFormat="1" applyFont="1"/>
    <xf numFmtId="165" fontId="24" fillId="0" borderId="0" xfId="7" applyFont="1" applyFill="1" applyAlignment="1">
      <alignment horizontal="center"/>
    </xf>
    <xf numFmtId="168" fontId="24" fillId="0" borderId="0" xfId="0" applyNumberFormat="1" applyFont="1" applyAlignment="1">
      <alignment vertical="center"/>
    </xf>
    <xf numFmtId="0" fontId="24" fillId="0" borderId="0" xfId="0" applyFont="1" applyAlignment="1">
      <alignment vertical="center" wrapText="1"/>
    </xf>
    <xf numFmtId="165" fontId="28" fillId="0" borderId="0" xfId="0" applyNumberFormat="1" applyFont="1"/>
    <xf numFmtId="0" fontId="24" fillId="0" borderId="0" xfId="0" applyFont="1" applyAlignment="1">
      <alignment horizontal="left" vertical="center" wrapText="1"/>
    </xf>
    <xf numFmtId="3" fontId="24" fillId="0" borderId="0" xfId="0" applyNumberFormat="1" applyFont="1"/>
    <xf numFmtId="0" fontId="24" fillId="0" borderId="0" xfId="0" applyFont="1" applyAlignment="1">
      <alignment wrapText="1"/>
    </xf>
    <xf numFmtId="0" fontId="24" fillId="4" borderId="0" xfId="0" applyFont="1" applyFill="1" applyAlignment="1">
      <alignment wrapText="1"/>
    </xf>
    <xf numFmtId="165" fontId="24" fillId="4" borderId="0" xfId="0" applyNumberFormat="1" applyFont="1" applyFill="1"/>
    <xf numFmtId="1" fontId="24" fillId="0" borderId="0" xfId="0" applyNumberFormat="1" applyFont="1"/>
    <xf numFmtId="165" fontId="24" fillId="0" borderId="0" xfId="0" applyNumberFormat="1" applyFont="1" applyAlignment="1">
      <alignment horizontal="left"/>
    </xf>
    <xf numFmtId="165" fontId="24" fillId="0" borderId="0" xfId="0" applyNumberFormat="1" applyFont="1" applyAlignment="1">
      <alignment horizontal="center"/>
    </xf>
    <xf numFmtId="0" fontId="26" fillId="0" borderId="1" xfId="0" applyFont="1" applyBorder="1"/>
    <xf numFmtId="15" fontId="26" fillId="0" borderId="1" xfId="0" applyNumberFormat="1" applyFont="1" applyBorder="1" applyAlignment="1">
      <alignment horizontal="center" vertical="center"/>
    </xf>
    <xf numFmtId="172" fontId="26" fillId="0" borderId="1" xfId="9" applyNumberFormat="1" applyFont="1" applyFill="1" applyBorder="1" applyAlignment="1">
      <alignment vertical="center"/>
    </xf>
    <xf numFmtId="1" fontId="26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left"/>
    </xf>
    <xf numFmtId="167" fontId="4" fillId="0" borderId="0" xfId="13" applyFont="1"/>
    <xf numFmtId="167" fontId="14" fillId="0" borderId="0" xfId="13" applyFont="1"/>
    <xf numFmtId="167" fontId="4" fillId="0" borderId="0" xfId="14" applyNumberFormat="1" applyFont="1"/>
    <xf numFmtId="165" fontId="14" fillId="0" borderId="0" xfId="14" applyFont="1"/>
    <xf numFmtId="165" fontId="8" fillId="0" borderId="1" xfId="14" applyFont="1" applyFill="1" applyBorder="1" applyAlignment="1">
      <alignment vertical="center"/>
    </xf>
    <xf numFmtId="165" fontId="8" fillId="0" borderId="1" xfId="14" applyFont="1" applyBorder="1" applyAlignment="1">
      <alignment vertical="center"/>
    </xf>
    <xf numFmtId="165" fontId="14" fillId="8" borderId="1" xfId="14" applyFont="1" applyFill="1" applyBorder="1" applyAlignment="1"/>
    <xf numFmtId="165" fontId="14" fillId="0" borderId="1" xfId="14" applyFont="1" applyBorder="1" applyAlignment="1"/>
    <xf numFmtId="165" fontId="14" fillId="0" borderId="1" xfId="14" applyFont="1" applyFill="1" applyBorder="1" applyAlignment="1"/>
    <xf numFmtId="165" fontId="14" fillId="0" borderId="1" xfId="14" applyFont="1" applyBorder="1"/>
    <xf numFmtId="165" fontId="8" fillId="8" borderId="1" xfId="14" applyFont="1" applyFill="1" applyBorder="1" applyAlignment="1"/>
    <xf numFmtId="165" fontId="14" fillId="0" borderId="1" xfId="14" applyFont="1" applyFill="1" applyBorder="1" applyAlignment="1">
      <alignment wrapText="1"/>
    </xf>
    <xf numFmtId="165" fontId="14" fillId="0" borderId="1" xfId="14" applyFont="1" applyFill="1" applyBorder="1"/>
    <xf numFmtId="165" fontId="14" fillId="6" borderId="1" xfId="14" applyFont="1" applyFill="1" applyBorder="1" applyAlignment="1">
      <alignment wrapText="1"/>
    </xf>
    <xf numFmtId="165" fontId="8" fillId="0" borderId="1" xfId="14" applyFont="1" applyBorder="1" applyAlignment="1"/>
    <xf numFmtId="165" fontId="8" fillId="8" borderId="1" xfId="14" applyFont="1" applyFill="1" applyBorder="1" applyAlignment="1">
      <alignment vertical="center"/>
    </xf>
    <xf numFmtId="0" fontId="28" fillId="5" borderId="1" xfId="0" applyFont="1" applyFill="1" applyBorder="1" applyAlignment="1">
      <alignment horizontal="center" vertical="center"/>
    </xf>
    <xf numFmtId="14" fontId="28" fillId="5" borderId="1" xfId="0" applyNumberFormat="1" applyFont="1" applyFill="1" applyBorder="1" applyAlignment="1">
      <alignment horizontal="center" vertical="center"/>
    </xf>
    <xf numFmtId="165" fontId="28" fillId="5" borderId="1" xfId="7" applyFont="1" applyFill="1" applyBorder="1" applyAlignment="1">
      <alignment horizontal="center" vertical="center"/>
    </xf>
    <xf numFmtId="0" fontId="28" fillId="5" borderId="3" xfId="0" applyFont="1" applyFill="1" applyBorder="1" applyAlignment="1">
      <alignment horizontal="center" vertical="center"/>
    </xf>
    <xf numFmtId="0" fontId="28" fillId="5" borderId="2" xfId="0" applyFont="1" applyFill="1" applyBorder="1" applyAlignment="1">
      <alignment horizontal="center" vertical="center"/>
    </xf>
    <xf numFmtId="0" fontId="28" fillId="5" borderId="3" xfId="0" applyFont="1" applyFill="1" applyBorder="1" applyAlignment="1">
      <alignment horizontal="center" vertical="center" wrapText="1"/>
    </xf>
    <xf numFmtId="0" fontId="28" fillId="5" borderId="2" xfId="0" applyFont="1" applyFill="1" applyBorder="1" applyAlignment="1">
      <alignment horizontal="center" vertical="center" wrapText="1"/>
    </xf>
    <xf numFmtId="165" fontId="4" fillId="0" borderId="0" xfId="0" applyNumberFormat="1" applyFont="1"/>
  </cellXfs>
  <cellStyles count="15">
    <cellStyle name="Comma" xfId="8" builtinId="3"/>
    <cellStyle name="Comma [0]" xfId="7" builtinId="6"/>
    <cellStyle name="Comma [0] 10" xfId="2" xr:uid="{00000000-0005-0000-0000-000002000000}"/>
    <cellStyle name="Comma [0] 2" xfId="5" xr:uid="{00000000-0005-0000-0000-000003000000}"/>
    <cellStyle name="Comma [0] 2 2 2" xfId="14" xr:uid="{97E7280A-D603-45DA-BC31-5347A0F1F68F}"/>
    <cellStyle name="Comma [0] 6 2" xfId="6" xr:uid="{00000000-0005-0000-0000-000004000000}"/>
    <cellStyle name="Comma 2" xfId="9" xr:uid="{00000000-0005-0000-0000-000005000000}"/>
    <cellStyle name="Comma 3" xfId="10" xr:uid="{00000000-0005-0000-0000-000006000000}"/>
    <cellStyle name="Comma 31 2" xfId="4" xr:uid="{00000000-0005-0000-0000-000007000000}"/>
    <cellStyle name="Normal" xfId="0" builtinId="0"/>
    <cellStyle name="Normal 2" xfId="11" xr:uid="{00000000-0005-0000-0000-000009000000}"/>
    <cellStyle name="Normal 34" xfId="1" xr:uid="{00000000-0005-0000-0000-00000A000000}"/>
    <cellStyle name="Normal 34 2" xfId="13" xr:uid="{090E3E44-C80B-40C2-9127-D73989C4B78F}"/>
    <cellStyle name="Normal 5" xfId="3" xr:uid="{00000000-0005-0000-0000-00000B000000}"/>
    <cellStyle name="S3" xfId="12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calcChain" Target="calcChain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Window10/Desktop/Art%2021%20Calculation%202019%20PHP%20Jan-des%202019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ummary PPh 21"/>
      <sheetName val="Tia Pritia"/>
      <sheetName val="Endang"/>
      <sheetName val="Faisal"/>
      <sheetName val="riris"/>
      <sheetName val="Yuliyanto"/>
      <sheetName val="Prihandini"/>
      <sheetName val="Dwiyari"/>
      <sheetName val="Agus M"/>
      <sheetName val="Nandang"/>
      <sheetName val="Robbin"/>
      <sheetName val="Purnomo"/>
      <sheetName val="Ateng"/>
      <sheetName val="Dedy"/>
      <sheetName val="(Pendi)"/>
      <sheetName val="Herlaut"/>
      <sheetName val="Joko"/>
      <sheetName val="Haryono"/>
      <sheetName val="Heru Santoso"/>
      <sheetName val="Arie Kurniawan"/>
      <sheetName val="Udin"/>
      <sheetName val="Ridwan"/>
      <sheetName val="(M Reyhan)"/>
      <sheetName val="(Ardian)"/>
      <sheetName val="(Katim)"/>
      <sheetName val="(M Fauzi)"/>
      <sheetName val="(Teguh Purnomo)"/>
      <sheetName val="(Ade Wahidin)"/>
      <sheetName val="Pegawai Tidak Tetap"/>
      <sheetName val="Heru"/>
      <sheetName val="Semi B"/>
      <sheetName val="Nelly"/>
      <sheetName val="Astried"/>
      <sheetName val="Anna"/>
      <sheetName val="Daniel"/>
      <sheetName val="Sanu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theme="3"/>
  </sheetPr>
  <dimension ref="A1:L38"/>
  <sheetViews>
    <sheetView zoomScale="85" zoomScaleNormal="85" workbookViewId="0">
      <pane ySplit="1" topLeftCell="A8" activePane="bottomLeft" state="frozen"/>
      <selection activeCell="B8" sqref="B8"/>
      <selection pane="bottomLeft" activeCell="H6" sqref="H6"/>
    </sheetView>
  </sheetViews>
  <sheetFormatPr defaultColWidth="9.140625" defaultRowHeight="30" customHeight="1" x14ac:dyDescent="0.25"/>
  <cols>
    <col min="1" max="1" width="20.5703125" style="88" customWidth="1"/>
    <col min="2" max="2" width="24.85546875" style="76" customWidth="1"/>
    <col min="3" max="4" width="24.85546875" style="76" hidden="1" customWidth="1"/>
    <col min="5" max="5" width="27.28515625" style="89" hidden="1" customWidth="1"/>
    <col min="6" max="6" width="13.85546875" style="90" customWidth="1"/>
    <col min="7" max="7" width="18.42578125" style="91" customWidth="1"/>
    <col min="8" max="8" width="36.5703125" style="88" customWidth="1"/>
    <col min="9" max="9" width="19.28515625" style="88" customWidth="1"/>
    <col min="10" max="10" width="24.42578125" style="88" customWidth="1"/>
    <col min="11" max="11" width="17.140625" style="88" customWidth="1"/>
    <col min="12" max="12" width="17" style="88" customWidth="1"/>
    <col min="13" max="1024" width="12.7109375" style="88" customWidth="1"/>
    <col min="1025" max="16384" width="9.140625" style="88"/>
  </cols>
  <sheetData>
    <row r="1" spans="1:12" s="69" customFormat="1" ht="30" customHeight="1" x14ac:dyDescent="0.25">
      <c r="A1" s="66" t="s">
        <v>102</v>
      </c>
      <c r="B1" s="66" t="s">
        <v>35</v>
      </c>
      <c r="C1" s="66" t="s">
        <v>103</v>
      </c>
      <c r="D1" s="66" t="s">
        <v>104</v>
      </c>
      <c r="E1" s="67" t="s">
        <v>105</v>
      </c>
      <c r="F1" s="66" t="s">
        <v>106</v>
      </c>
      <c r="G1" s="68" t="s">
        <v>107</v>
      </c>
      <c r="H1" s="66" t="s">
        <v>37</v>
      </c>
      <c r="I1" s="66" t="s">
        <v>108</v>
      </c>
      <c r="J1" s="66" t="s">
        <v>109</v>
      </c>
      <c r="K1" s="66" t="s">
        <v>110</v>
      </c>
      <c r="L1" s="66" t="s">
        <v>111</v>
      </c>
    </row>
    <row r="2" spans="1:12" s="76" customFormat="1" ht="30" customHeight="1" x14ac:dyDescent="0.25">
      <c r="A2" s="70" t="s">
        <v>112</v>
      </c>
      <c r="B2" s="71" t="s">
        <v>90</v>
      </c>
      <c r="C2" s="71" t="s">
        <v>113</v>
      </c>
      <c r="D2" s="71" t="s">
        <v>114</v>
      </c>
      <c r="E2" s="72" t="s">
        <v>115</v>
      </c>
      <c r="F2" s="73" t="s">
        <v>116</v>
      </c>
      <c r="G2" s="74" t="s">
        <v>117</v>
      </c>
      <c r="H2" s="72" t="s">
        <v>118</v>
      </c>
      <c r="I2" s="75" t="s">
        <v>119</v>
      </c>
      <c r="J2" s="75" t="s">
        <v>120</v>
      </c>
      <c r="K2" s="75" t="s">
        <v>121</v>
      </c>
      <c r="L2" s="75" t="s">
        <v>122</v>
      </c>
    </row>
    <row r="3" spans="1:12" s="76" customFormat="1" ht="30" customHeight="1" x14ac:dyDescent="0.25">
      <c r="A3" s="70" t="s">
        <v>123</v>
      </c>
      <c r="B3" s="72" t="s">
        <v>124</v>
      </c>
      <c r="C3" s="72" t="s">
        <v>125</v>
      </c>
      <c r="D3" s="72" t="s">
        <v>126</v>
      </c>
      <c r="E3" s="72" t="s">
        <v>127</v>
      </c>
      <c r="F3" s="73" t="s">
        <v>116</v>
      </c>
      <c r="G3" s="72" t="s">
        <v>128</v>
      </c>
      <c r="H3" s="72" t="s">
        <v>129</v>
      </c>
      <c r="I3" s="75" t="s">
        <v>130</v>
      </c>
      <c r="J3" s="75" t="s">
        <v>131</v>
      </c>
      <c r="K3" s="75" t="s">
        <v>132</v>
      </c>
      <c r="L3" s="75" t="s">
        <v>133</v>
      </c>
    </row>
    <row r="4" spans="1:12" s="76" customFormat="1" ht="30" customHeight="1" x14ac:dyDescent="0.25">
      <c r="A4" s="70" t="s">
        <v>134</v>
      </c>
      <c r="B4" s="72" t="s">
        <v>135</v>
      </c>
      <c r="C4" s="72" t="s">
        <v>136</v>
      </c>
      <c r="D4" s="72" t="s">
        <v>126</v>
      </c>
      <c r="E4" s="72" t="s">
        <v>137</v>
      </c>
      <c r="F4" s="73" t="s">
        <v>116</v>
      </c>
      <c r="G4" s="72" t="s">
        <v>138</v>
      </c>
      <c r="H4" s="72" t="s">
        <v>139</v>
      </c>
      <c r="I4" s="75" t="s">
        <v>140</v>
      </c>
      <c r="J4" s="75" t="s">
        <v>141</v>
      </c>
      <c r="K4" s="75" t="s">
        <v>142</v>
      </c>
      <c r="L4" s="75" t="s">
        <v>122</v>
      </c>
    </row>
    <row r="5" spans="1:12" s="76" customFormat="1" ht="30" customHeight="1" x14ac:dyDescent="0.25">
      <c r="A5" s="70" t="s">
        <v>143</v>
      </c>
      <c r="B5" s="72" t="s">
        <v>144</v>
      </c>
      <c r="C5" s="72" t="s">
        <v>145</v>
      </c>
      <c r="D5" s="72" t="s">
        <v>146</v>
      </c>
      <c r="E5" s="72" t="s">
        <v>147</v>
      </c>
      <c r="F5" s="77" t="s">
        <v>148</v>
      </c>
      <c r="G5" s="74" t="s">
        <v>149</v>
      </c>
      <c r="H5" s="72" t="s">
        <v>150</v>
      </c>
      <c r="I5" s="75" t="s">
        <v>151</v>
      </c>
      <c r="J5" s="72" t="s">
        <v>152</v>
      </c>
      <c r="K5" s="72" t="s">
        <v>153</v>
      </c>
      <c r="L5" s="72" t="s">
        <v>122</v>
      </c>
    </row>
    <row r="6" spans="1:12" s="76" customFormat="1" ht="30" customHeight="1" x14ac:dyDescent="0.25">
      <c r="A6" s="70" t="s">
        <v>154</v>
      </c>
      <c r="B6" s="72" t="s">
        <v>155</v>
      </c>
      <c r="C6" s="72" t="s">
        <v>156</v>
      </c>
      <c r="D6" s="72" t="s">
        <v>157</v>
      </c>
      <c r="E6" s="72" t="s">
        <v>158</v>
      </c>
      <c r="F6" s="77" t="s">
        <v>148</v>
      </c>
      <c r="G6" s="72" t="s">
        <v>159</v>
      </c>
      <c r="H6" s="72" t="s">
        <v>160</v>
      </c>
      <c r="I6" s="75" t="s">
        <v>151</v>
      </c>
      <c r="J6" s="75" t="s">
        <v>161</v>
      </c>
      <c r="K6" s="75" t="s">
        <v>162</v>
      </c>
      <c r="L6" s="75" t="s">
        <v>133</v>
      </c>
    </row>
    <row r="7" spans="1:12" s="76" customFormat="1" ht="30" customHeight="1" x14ac:dyDescent="0.25">
      <c r="A7" s="70" t="s">
        <v>163</v>
      </c>
      <c r="B7" s="72" t="s">
        <v>164</v>
      </c>
      <c r="C7" s="72" t="s">
        <v>165</v>
      </c>
      <c r="D7" s="72" t="s">
        <v>166</v>
      </c>
      <c r="E7" s="72" t="s">
        <v>167</v>
      </c>
      <c r="F7" s="73" t="s">
        <v>116</v>
      </c>
      <c r="G7" s="72" t="s">
        <v>168</v>
      </c>
      <c r="H7" s="72" t="s">
        <v>169</v>
      </c>
      <c r="I7" s="75" t="s">
        <v>170</v>
      </c>
      <c r="J7" s="75" t="s">
        <v>171</v>
      </c>
      <c r="K7" s="75" t="s">
        <v>172</v>
      </c>
      <c r="L7" s="75" t="s">
        <v>133</v>
      </c>
    </row>
    <row r="8" spans="1:12" s="76" customFormat="1" ht="30" customHeight="1" x14ac:dyDescent="0.25">
      <c r="A8" s="70" t="s">
        <v>173</v>
      </c>
      <c r="B8" s="72" t="s">
        <v>174</v>
      </c>
      <c r="C8" s="72" t="s">
        <v>175</v>
      </c>
      <c r="D8" s="72" t="s">
        <v>176</v>
      </c>
      <c r="E8" s="72" t="s">
        <v>177</v>
      </c>
      <c r="F8" s="73" t="s">
        <v>116</v>
      </c>
      <c r="G8" s="72" t="s">
        <v>178</v>
      </c>
      <c r="H8" s="72" t="s">
        <v>179</v>
      </c>
      <c r="I8" s="75" t="s">
        <v>180</v>
      </c>
      <c r="J8" s="75" t="s">
        <v>181</v>
      </c>
      <c r="K8" s="75" t="s">
        <v>162</v>
      </c>
      <c r="L8" s="75" t="s">
        <v>133</v>
      </c>
    </row>
    <row r="9" spans="1:12" s="76" customFormat="1" ht="30" customHeight="1" x14ac:dyDescent="0.25">
      <c r="A9" s="70" t="s">
        <v>182</v>
      </c>
      <c r="B9" s="71" t="s">
        <v>183</v>
      </c>
      <c r="C9" s="72" t="s">
        <v>184</v>
      </c>
      <c r="D9" s="72" t="s">
        <v>126</v>
      </c>
      <c r="E9" s="71" t="s">
        <v>185</v>
      </c>
      <c r="F9" s="77" t="s">
        <v>148</v>
      </c>
      <c r="G9" s="78" t="s">
        <v>186</v>
      </c>
      <c r="H9" s="72" t="s">
        <v>187</v>
      </c>
      <c r="I9" s="75" t="s">
        <v>151</v>
      </c>
      <c r="J9" s="75" t="s">
        <v>188</v>
      </c>
      <c r="K9" s="75" t="s">
        <v>189</v>
      </c>
      <c r="L9" s="75" t="s">
        <v>133</v>
      </c>
    </row>
    <row r="10" spans="1:12" s="76" customFormat="1" ht="30" customHeight="1" x14ac:dyDescent="0.25">
      <c r="A10" s="70" t="s">
        <v>190</v>
      </c>
      <c r="B10" s="71" t="s">
        <v>191</v>
      </c>
      <c r="C10" s="72" t="s">
        <v>192</v>
      </c>
      <c r="D10" s="72" t="s">
        <v>193</v>
      </c>
      <c r="E10" s="71" t="s">
        <v>194</v>
      </c>
      <c r="F10" s="77" t="s">
        <v>148</v>
      </c>
      <c r="G10" s="78" t="s">
        <v>195</v>
      </c>
      <c r="H10" s="72" t="s">
        <v>196</v>
      </c>
      <c r="I10" s="75" t="s">
        <v>197</v>
      </c>
      <c r="J10" s="75" t="s">
        <v>198</v>
      </c>
      <c r="K10" s="75" t="s">
        <v>199</v>
      </c>
      <c r="L10" s="75" t="s">
        <v>122</v>
      </c>
    </row>
    <row r="11" spans="1:12" s="76" customFormat="1" ht="30" customHeight="1" x14ac:dyDescent="0.25">
      <c r="A11" s="70" t="s">
        <v>200</v>
      </c>
      <c r="B11" s="71" t="s">
        <v>201</v>
      </c>
      <c r="C11" s="71" t="s">
        <v>202</v>
      </c>
      <c r="D11" s="71" t="s">
        <v>114</v>
      </c>
      <c r="E11" s="72" t="s">
        <v>203</v>
      </c>
      <c r="F11" s="77" t="s">
        <v>148</v>
      </c>
      <c r="G11" s="71" t="s">
        <v>204</v>
      </c>
      <c r="H11" s="72" t="s">
        <v>205</v>
      </c>
      <c r="I11" s="75" t="s">
        <v>206</v>
      </c>
      <c r="J11" s="75" t="s">
        <v>207</v>
      </c>
      <c r="K11" s="75" t="s">
        <v>199</v>
      </c>
      <c r="L11" s="75" t="s">
        <v>122</v>
      </c>
    </row>
    <row r="12" spans="1:12" s="76" customFormat="1" ht="30" customHeight="1" x14ac:dyDescent="0.25">
      <c r="A12" s="70" t="s">
        <v>208</v>
      </c>
      <c r="B12" s="71" t="s">
        <v>209</v>
      </c>
      <c r="C12" s="72" t="s">
        <v>210</v>
      </c>
      <c r="D12" s="72" t="s">
        <v>193</v>
      </c>
      <c r="E12" s="72" t="s">
        <v>211</v>
      </c>
      <c r="F12" s="73" t="s">
        <v>116</v>
      </c>
      <c r="G12" s="78" t="s">
        <v>212</v>
      </c>
      <c r="H12" s="72" t="s">
        <v>213</v>
      </c>
      <c r="I12" s="75" t="s">
        <v>214</v>
      </c>
      <c r="J12" s="75" t="s">
        <v>215</v>
      </c>
      <c r="K12" s="75" t="s">
        <v>216</v>
      </c>
      <c r="L12" s="75" t="s">
        <v>217</v>
      </c>
    </row>
    <row r="13" spans="1:12" s="76" customFormat="1" ht="30" customHeight="1" x14ac:dyDescent="0.25">
      <c r="A13" s="64" t="s">
        <v>100</v>
      </c>
      <c r="B13" s="75" t="s">
        <v>218</v>
      </c>
      <c r="C13" s="75" t="s">
        <v>219</v>
      </c>
      <c r="D13" s="75" t="s">
        <v>220</v>
      </c>
      <c r="E13" s="79" t="s">
        <v>221</v>
      </c>
      <c r="F13" s="80" t="s">
        <v>148</v>
      </c>
      <c r="G13" s="81" t="s">
        <v>222</v>
      </c>
      <c r="H13" s="65" t="s">
        <v>444</v>
      </c>
      <c r="I13" s="82" t="s">
        <v>223</v>
      </c>
      <c r="J13" s="82" t="s">
        <v>224</v>
      </c>
      <c r="K13" s="82" t="s">
        <v>225</v>
      </c>
      <c r="L13" s="82" t="s">
        <v>133</v>
      </c>
    </row>
    <row r="14" spans="1:12" s="76" customFormat="1" ht="30" customHeight="1" x14ac:dyDescent="0.25">
      <c r="A14" s="70" t="s">
        <v>226</v>
      </c>
      <c r="B14" s="72" t="s">
        <v>227</v>
      </c>
      <c r="C14" s="72" t="s">
        <v>228</v>
      </c>
      <c r="D14" s="72" t="s">
        <v>229</v>
      </c>
      <c r="E14" s="72" t="s">
        <v>230</v>
      </c>
      <c r="F14" s="77" t="s">
        <v>148</v>
      </c>
      <c r="G14" s="72" t="s">
        <v>231</v>
      </c>
      <c r="H14" s="72" t="s">
        <v>232</v>
      </c>
      <c r="I14" s="75" t="s">
        <v>233</v>
      </c>
      <c r="J14" s="75" t="s">
        <v>234</v>
      </c>
      <c r="K14" s="75" t="s">
        <v>162</v>
      </c>
      <c r="L14" s="75" t="s">
        <v>133</v>
      </c>
    </row>
    <row r="15" spans="1:12" s="76" customFormat="1" ht="30" customHeight="1" x14ac:dyDescent="0.25">
      <c r="A15" s="70" t="s">
        <v>235</v>
      </c>
      <c r="B15" s="71" t="s">
        <v>236</v>
      </c>
      <c r="C15" s="72" t="s">
        <v>237</v>
      </c>
      <c r="D15" s="72" t="s">
        <v>238</v>
      </c>
      <c r="E15" s="71" t="s">
        <v>239</v>
      </c>
      <c r="F15" s="73" t="s">
        <v>116</v>
      </c>
      <c r="G15" s="71" t="s">
        <v>240</v>
      </c>
      <c r="H15" s="72" t="s">
        <v>241</v>
      </c>
      <c r="I15" s="75" t="s">
        <v>242</v>
      </c>
      <c r="J15" s="75" t="s">
        <v>243</v>
      </c>
      <c r="K15" s="75" t="s">
        <v>244</v>
      </c>
      <c r="L15" s="75" t="s">
        <v>122</v>
      </c>
    </row>
    <row r="16" spans="1:12" s="76" customFormat="1" ht="30" customHeight="1" x14ac:dyDescent="0.25">
      <c r="A16" s="70" t="s">
        <v>245</v>
      </c>
      <c r="B16" s="71" t="s">
        <v>246</v>
      </c>
      <c r="C16" s="72" t="s">
        <v>247</v>
      </c>
      <c r="D16" s="72" t="s">
        <v>229</v>
      </c>
      <c r="E16" s="71" t="s">
        <v>248</v>
      </c>
      <c r="F16" s="77" t="s">
        <v>148</v>
      </c>
      <c r="G16" s="71" t="s">
        <v>249</v>
      </c>
      <c r="H16" s="72" t="s">
        <v>250</v>
      </c>
      <c r="I16" s="75" t="s">
        <v>151</v>
      </c>
      <c r="J16" s="75" t="s">
        <v>251</v>
      </c>
      <c r="K16" s="75" t="s">
        <v>199</v>
      </c>
      <c r="L16" s="75" t="s">
        <v>122</v>
      </c>
    </row>
    <row r="17" spans="1:12" s="76" customFormat="1" ht="30" customHeight="1" x14ac:dyDescent="0.25">
      <c r="A17" s="70" t="s">
        <v>252</v>
      </c>
      <c r="B17" s="75" t="s">
        <v>253</v>
      </c>
      <c r="C17" s="75" t="s">
        <v>254</v>
      </c>
      <c r="D17" s="75" t="s">
        <v>255</v>
      </c>
      <c r="E17" s="71" t="s">
        <v>256</v>
      </c>
      <c r="F17" s="73" t="s">
        <v>116</v>
      </c>
      <c r="G17" s="83" t="s">
        <v>257</v>
      </c>
      <c r="H17" s="75" t="s">
        <v>258</v>
      </c>
      <c r="I17" s="75" t="s">
        <v>259</v>
      </c>
      <c r="J17" s="75" t="s">
        <v>260</v>
      </c>
      <c r="K17" s="75" t="s">
        <v>261</v>
      </c>
      <c r="L17" s="75" t="s">
        <v>122</v>
      </c>
    </row>
    <row r="18" spans="1:12" s="76" customFormat="1" ht="30" customHeight="1" x14ac:dyDescent="0.25">
      <c r="A18" s="70" t="s">
        <v>262</v>
      </c>
      <c r="B18" s="71" t="s">
        <v>263</v>
      </c>
      <c r="C18" s="71" t="s">
        <v>264</v>
      </c>
      <c r="D18" s="71" t="s">
        <v>265</v>
      </c>
      <c r="E18" s="71" t="s">
        <v>266</v>
      </c>
      <c r="F18" s="73" t="s">
        <v>116</v>
      </c>
      <c r="G18" s="71" t="s">
        <v>267</v>
      </c>
      <c r="H18" s="72" t="s">
        <v>268</v>
      </c>
      <c r="I18" s="75" t="s">
        <v>151</v>
      </c>
      <c r="J18" s="75" t="s">
        <v>269</v>
      </c>
      <c r="K18" s="75" t="s">
        <v>270</v>
      </c>
      <c r="L18" s="75" t="s">
        <v>133</v>
      </c>
    </row>
    <row r="19" spans="1:12" s="76" customFormat="1" ht="30" customHeight="1" x14ac:dyDescent="0.25">
      <c r="A19" s="64" t="s">
        <v>271</v>
      </c>
      <c r="B19" s="75" t="s">
        <v>272</v>
      </c>
      <c r="C19" s="75" t="s">
        <v>273</v>
      </c>
      <c r="D19" s="75" t="s">
        <v>176</v>
      </c>
      <c r="E19" s="79" t="s">
        <v>274</v>
      </c>
      <c r="F19" s="80" t="s">
        <v>148</v>
      </c>
      <c r="G19" s="81" t="s">
        <v>275</v>
      </c>
      <c r="H19" s="65" t="s">
        <v>276</v>
      </c>
      <c r="I19" s="82" t="s">
        <v>277</v>
      </c>
      <c r="J19" s="82" t="s">
        <v>278</v>
      </c>
      <c r="K19" s="82" t="s">
        <v>261</v>
      </c>
      <c r="L19" s="82" t="s">
        <v>122</v>
      </c>
    </row>
    <row r="20" spans="1:12" s="76" customFormat="1" ht="30" customHeight="1" x14ac:dyDescent="0.25">
      <c r="A20" s="70" t="s">
        <v>279</v>
      </c>
      <c r="B20" s="71" t="s">
        <v>280</v>
      </c>
      <c r="C20" s="71" t="s">
        <v>175</v>
      </c>
      <c r="D20" s="71" t="s">
        <v>114</v>
      </c>
      <c r="E20" s="71" t="s">
        <v>281</v>
      </c>
      <c r="F20" s="73" t="s">
        <v>116</v>
      </c>
      <c r="G20" s="78" t="s">
        <v>282</v>
      </c>
      <c r="H20" s="72" t="s">
        <v>283</v>
      </c>
      <c r="I20" s="75" t="s">
        <v>284</v>
      </c>
      <c r="J20" s="75" t="s">
        <v>285</v>
      </c>
      <c r="K20" s="75" t="s">
        <v>286</v>
      </c>
      <c r="L20" s="75" t="s">
        <v>133</v>
      </c>
    </row>
    <row r="21" spans="1:12" s="76" customFormat="1" ht="30" customHeight="1" x14ac:dyDescent="0.25">
      <c r="A21" s="75"/>
      <c r="B21" s="75" t="s">
        <v>287</v>
      </c>
      <c r="C21" s="75" t="s">
        <v>288</v>
      </c>
      <c r="D21" s="75" t="s">
        <v>289</v>
      </c>
      <c r="E21" s="84" t="s">
        <v>290</v>
      </c>
      <c r="F21" s="80" t="s">
        <v>148</v>
      </c>
      <c r="G21" s="81" t="s">
        <v>291</v>
      </c>
      <c r="H21" s="85" t="s">
        <v>292</v>
      </c>
      <c r="I21" s="75"/>
      <c r="J21" s="75"/>
      <c r="K21" s="75"/>
      <c r="L21" s="75"/>
    </row>
    <row r="22" spans="1:12" s="76" customFormat="1" ht="30" customHeight="1" x14ac:dyDescent="0.25">
      <c r="A22" s="70" t="s">
        <v>293</v>
      </c>
      <c r="B22" s="71" t="s">
        <v>294</v>
      </c>
      <c r="C22" s="71" t="s">
        <v>295</v>
      </c>
      <c r="D22" s="71" t="s">
        <v>114</v>
      </c>
      <c r="E22" s="71" t="s">
        <v>296</v>
      </c>
      <c r="F22" s="77" t="s">
        <v>148</v>
      </c>
      <c r="G22" s="71" t="s">
        <v>297</v>
      </c>
      <c r="H22" s="72" t="s">
        <v>298</v>
      </c>
      <c r="I22" s="75" t="s">
        <v>151</v>
      </c>
      <c r="J22" s="75" t="s">
        <v>299</v>
      </c>
      <c r="K22" s="75" t="s">
        <v>300</v>
      </c>
      <c r="L22" s="75" t="s">
        <v>301</v>
      </c>
    </row>
    <row r="23" spans="1:12" s="76" customFormat="1" ht="30" customHeight="1" x14ac:dyDescent="0.25">
      <c r="A23" s="70" t="s">
        <v>302</v>
      </c>
      <c r="B23" s="75" t="s">
        <v>303</v>
      </c>
      <c r="C23" s="75" t="s">
        <v>304</v>
      </c>
      <c r="D23" s="75" t="s">
        <v>305</v>
      </c>
      <c r="E23" s="84" t="s">
        <v>306</v>
      </c>
      <c r="F23" s="73" t="s">
        <v>148</v>
      </c>
      <c r="G23" s="78" t="s">
        <v>307</v>
      </c>
      <c r="H23" s="72" t="s">
        <v>308</v>
      </c>
      <c r="I23" s="75" t="s">
        <v>309</v>
      </c>
      <c r="J23" s="75" t="s">
        <v>310</v>
      </c>
      <c r="K23" s="75" t="s">
        <v>162</v>
      </c>
      <c r="L23" s="75" t="s">
        <v>133</v>
      </c>
    </row>
    <row r="24" spans="1:12" s="76" customFormat="1" ht="30" customHeight="1" x14ac:dyDescent="0.25">
      <c r="A24" s="70" t="s">
        <v>311</v>
      </c>
      <c r="B24" s="71" t="s">
        <v>312</v>
      </c>
      <c r="C24" s="71" t="s">
        <v>175</v>
      </c>
      <c r="D24" s="71" t="s">
        <v>313</v>
      </c>
      <c r="E24" s="72" t="s">
        <v>314</v>
      </c>
      <c r="F24" s="73" t="s">
        <v>116</v>
      </c>
      <c r="G24" s="71" t="s">
        <v>315</v>
      </c>
      <c r="H24" s="72" t="s">
        <v>316</v>
      </c>
      <c r="I24" s="75" t="s">
        <v>317</v>
      </c>
      <c r="J24" s="75" t="s">
        <v>251</v>
      </c>
      <c r="K24" s="75" t="s">
        <v>199</v>
      </c>
      <c r="L24" s="75" t="s">
        <v>122</v>
      </c>
    </row>
    <row r="25" spans="1:12" s="76" customFormat="1" ht="30" customHeight="1" x14ac:dyDescent="0.25">
      <c r="A25" s="70" t="s">
        <v>318</v>
      </c>
      <c r="B25" s="71" t="s">
        <v>319</v>
      </c>
      <c r="C25" s="71" t="s">
        <v>320</v>
      </c>
      <c r="D25" s="71" t="s">
        <v>126</v>
      </c>
      <c r="E25" s="71" t="s">
        <v>321</v>
      </c>
      <c r="F25" s="77" t="s">
        <v>148</v>
      </c>
      <c r="G25" s="78" t="s">
        <v>322</v>
      </c>
      <c r="H25" s="72" t="s">
        <v>323</v>
      </c>
      <c r="I25" s="75" t="s">
        <v>151</v>
      </c>
      <c r="J25" s="75" t="s">
        <v>324</v>
      </c>
      <c r="K25" s="75" t="s">
        <v>325</v>
      </c>
      <c r="L25" s="75" t="s">
        <v>133</v>
      </c>
    </row>
    <row r="26" spans="1:12" s="76" customFormat="1" ht="30" customHeight="1" x14ac:dyDescent="0.25">
      <c r="A26" s="70" t="s">
        <v>326</v>
      </c>
      <c r="B26" s="71" t="s">
        <v>327</v>
      </c>
      <c r="C26" s="72" t="s">
        <v>328</v>
      </c>
      <c r="D26" s="72" t="s">
        <v>146</v>
      </c>
      <c r="E26" s="72" t="s">
        <v>329</v>
      </c>
      <c r="F26" s="73" t="s">
        <v>116</v>
      </c>
      <c r="G26" s="78" t="s">
        <v>330</v>
      </c>
      <c r="H26" s="72" t="s">
        <v>331</v>
      </c>
      <c r="I26" s="75" t="s">
        <v>332</v>
      </c>
      <c r="J26" s="75" t="s">
        <v>333</v>
      </c>
      <c r="K26" s="75" t="s">
        <v>199</v>
      </c>
      <c r="L26" s="75" t="s">
        <v>122</v>
      </c>
    </row>
    <row r="27" spans="1:12" s="76" customFormat="1" ht="30" customHeight="1" x14ac:dyDescent="0.25">
      <c r="A27" s="70" t="s">
        <v>334</v>
      </c>
      <c r="B27" s="71" t="s">
        <v>335</v>
      </c>
      <c r="C27" s="71" t="s">
        <v>175</v>
      </c>
      <c r="D27" s="71" t="s">
        <v>336</v>
      </c>
      <c r="E27" s="72" t="s">
        <v>337</v>
      </c>
      <c r="F27" s="77" t="s">
        <v>148</v>
      </c>
      <c r="G27" s="71" t="s">
        <v>338</v>
      </c>
      <c r="H27" s="72" t="s">
        <v>339</v>
      </c>
      <c r="I27" s="75" t="s">
        <v>340</v>
      </c>
      <c r="J27" s="75" t="s">
        <v>341</v>
      </c>
      <c r="K27" s="75" t="s">
        <v>342</v>
      </c>
      <c r="L27" s="75" t="s">
        <v>133</v>
      </c>
    </row>
    <row r="28" spans="1:12" s="76" customFormat="1" ht="30" customHeight="1" x14ac:dyDescent="0.25">
      <c r="A28" s="70" t="s">
        <v>343</v>
      </c>
      <c r="B28" s="75" t="s">
        <v>344</v>
      </c>
      <c r="C28" s="75" t="s">
        <v>345</v>
      </c>
      <c r="D28" s="75" t="s">
        <v>346</v>
      </c>
      <c r="E28" s="84" t="s">
        <v>347</v>
      </c>
      <c r="F28" s="73" t="s">
        <v>116</v>
      </c>
      <c r="G28" s="78" t="s">
        <v>348</v>
      </c>
      <c r="H28" s="72" t="s">
        <v>349</v>
      </c>
      <c r="I28" s="75" t="s">
        <v>350</v>
      </c>
      <c r="J28" s="75" t="s">
        <v>351</v>
      </c>
      <c r="K28" s="75" t="s">
        <v>261</v>
      </c>
      <c r="L28" s="75" t="s">
        <v>122</v>
      </c>
    </row>
    <row r="29" spans="1:12" s="76" customFormat="1" ht="30" customHeight="1" x14ac:dyDescent="0.25">
      <c r="A29" s="70" t="s">
        <v>352</v>
      </c>
      <c r="B29" s="75" t="s">
        <v>353</v>
      </c>
      <c r="C29" s="75" t="s">
        <v>354</v>
      </c>
      <c r="D29" s="75"/>
      <c r="E29" s="84" t="s">
        <v>355</v>
      </c>
      <c r="F29" s="80" t="s">
        <v>148</v>
      </c>
      <c r="G29" s="81" t="s">
        <v>356</v>
      </c>
      <c r="H29" s="85" t="s">
        <v>357</v>
      </c>
      <c r="I29" s="75" t="s">
        <v>358</v>
      </c>
      <c r="J29" s="75" t="s">
        <v>359</v>
      </c>
      <c r="K29" s="75" t="s">
        <v>216</v>
      </c>
      <c r="L29" s="75" t="s">
        <v>217</v>
      </c>
    </row>
    <row r="30" spans="1:12" s="76" customFormat="1" ht="30" customHeight="1" x14ac:dyDescent="0.25">
      <c r="A30" s="70" t="s">
        <v>360</v>
      </c>
      <c r="B30" s="71" t="s">
        <v>361</v>
      </c>
      <c r="C30" s="72" t="s">
        <v>362</v>
      </c>
      <c r="D30" s="72" t="s">
        <v>313</v>
      </c>
      <c r="E30" s="72" t="s">
        <v>363</v>
      </c>
      <c r="F30" s="73" t="s">
        <v>116</v>
      </c>
      <c r="G30" s="78" t="s">
        <v>364</v>
      </c>
      <c r="H30" s="72" t="s">
        <v>365</v>
      </c>
      <c r="I30" s="75" t="s">
        <v>366</v>
      </c>
      <c r="J30" s="75" t="s">
        <v>367</v>
      </c>
      <c r="K30" s="75" t="s">
        <v>142</v>
      </c>
      <c r="L30" s="75" t="s">
        <v>122</v>
      </c>
    </row>
    <row r="31" spans="1:12" s="76" customFormat="1" ht="30" customHeight="1" x14ac:dyDescent="0.25">
      <c r="A31" s="70" t="s">
        <v>368</v>
      </c>
      <c r="B31" s="71" t="s">
        <v>369</v>
      </c>
      <c r="C31" s="71" t="s">
        <v>370</v>
      </c>
      <c r="D31" s="71" t="s">
        <v>371</v>
      </c>
      <c r="E31" s="72" t="s">
        <v>372</v>
      </c>
      <c r="F31" s="73" t="s">
        <v>116</v>
      </c>
      <c r="G31" s="71" t="s">
        <v>373</v>
      </c>
      <c r="H31" s="72" t="s">
        <v>374</v>
      </c>
      <c r="I31" s="75" t="s">
        <v>151</v>
      </c>
      <c r="J31" s="75" t="s">
        <v>375</v>
      </c>
      <c r="K31" s="75" t="s">
        <v>270</v>
      </c>
      <c r="L31" s="75" t="s">
        <v>133</v>
      </c>
    </row>
    <row r="32" spans="1:12" s="76" customFormat="1" ht="30" customHeight="1" x14ac:dyDescent="0.25">
      <c r="A32" s="64" t="s">
        <v>376</v>
      </c>
      <c r="B32" s="75" t="s">
        <v>377</v>
      </c>
      <c r="C32" s="75" t="s">
        <v>378</v>
      </c>
      <c r="D32" s="75" t="s">
        <v>379</v>
      </c>
      <c r="E32" s="79" t="s">
        <v>380</v>
      </c>
      <c r="F32" s="80" t="s">
        <v>148</v>
      </c>
      <c r="G32" s="81" t="s">
        <v>381</v>
      </c>
      <c r="H32" s="82" t="s">
        <v>382</v>
      </c>
      <c r="I32" s="82" t="s">
        <v>383</v>
      </c>
      <c r="J32" s="82" t="s">
        <v>384</v>
      </c>
      <c r="K32" s="82" t="s">
        <v>162</v>
      </c>
      <c r="L32" s="82" t="s">
        <v>133</v>
      </c>
    </row>
    <row r="33" spans="1:12" s="86" customFormat="1" ht="30" customHeight="1" x14ac:dyDescent="0.25">
      <c r="A33" s="64" t="s">
        <v>385</v>
      </c>
      <c r="B33" s="75" t="s">
        <v>386</v>
      </c>
      <c r="C33" s="75" t="s">
        <v>378</v>
      </c>
      <c r="D33" s="75" t="s">
        <v>379</v>
      </c>
      <c r="E33" s="79" t="s">
        <v>387</v>
      </c>
      <c r="F33" s="80" t="s">
        <v>148</v>
      </c>
      <c r="G33" s="81" t="s">
        <v>388</v>
      </c>
      <c r="H33" s="82" t="s">
        <v>389</v>
      </c>
      <c r="I33" s="82" t="s">
        <v>119</v>
      </c>
      <c r="J33" s="82" t="s">
        <v>120</v>
      </c>
      <c r="K33" s="82" t="s">
        <v>261</v>
      </c>
      <c r="L33" s="82" t="s">
        <v>122</v>
      </c>
    </row>
    <row r="34" spans="1:12" s="86" customFormat="1" ht="30" customHeight="1" x14ac:dyDescent="0.25">
      <c r="A34" s="70" t="s">
        <v>390</v>
      </c>
      <c r="B34" s="71" t="s">
        <v>391</v>
      </c>
      <c r="C34" s="72" t="s">
        <v>392</v>
      </c>
      <c r="D34" s="72" t="s">
        <v>393</v>
      </c>
      <c r="E34" s="72" t="s">
        <v>394</v>
      </c>
      <c r="F34" s="73" t="s">
        <v>116</v>
      </c>
      <c r="G34" s="78" t="s">
        <v>395</v>
      </c>
      <c r="H34" s="72" t="s">
        <v>396</v>
      </c>
      <c r="I34" s="75"/>
      <c r="J34" s="75" t="s">
        <v>397</v>
      </c>
      <c r="K34" s="75" t="s">
        <v>153</v>
      </c>
      <c r="L34" s="75" t="s">
        <v>122</v>
      </c>
    </row>
    <row r="35" spans="1:12" s="86" customFormat="1" ht="30" customHeight="1" x14ac:dyDescent="0.25">
      <c r="A35" s="70" t="s">
        <v>398</v>
      </c>
      <c r="B35" s="71" t="s">
        <v>399</v>
      </c>
      <c r="C35" s="72" t="s">
        <v>400</v>
      </c>
      <c r="D35" s="72" t="s">
        <v>289</v>
      </c>
      <c r="E35" s="72" t="s">
        <v>401</v>
      </c>
      <c r="F35" s="73" t="s">
        <v>116</v>
      </c>
      <c r="G35" s="78" t="s">
        <v>402</v>
      </c>
      <c r="H35" s="72" t="s">
        <v>403</v>
      </c>
      <c r="I35" s="75" t="s">
        <v>151</v>
      </c>
      <c r="J35" s="75" t="s">
        <v>404</v>
      </c>
      <c r="K35" s="75" t="s">
        <v>405</v>
      </c>
      <c r="L35" s="75" t="s">
        <v>217</v>
      </c>
    </row>
    <row r="36" spans="1:12" s="86" customFormat="1" ht="30" customHeight="1" x14ac:dyDescent="0.25">
      <c r="A36" s="70" t="s">
        <v>406</v>
      </c>
      <c r="B36" s="71" t="s">
        <v>407</v>
      </c>
      <c r="C36" s="71" t="s">
        <v>175</v>
      </c>
      <c r="D36" s="71" t="s">
        <v>176</v>
      </c>
      <c r="E36" s="72" t="s">
        <v>408</v>
      </c>
      <c r="F36" s="73" t="s">
        <v>116</v>
      </c>
      <c r="G36" s="78" t="s">
        <v>409</v>
      </c>
      <c r="H36" s="72" t="s">
        <v>410</v>
      </c>
      <c r="I36" s="75" t="s">
        <v>411</v>
      </c>
      <c r="J36" s="75" t="s">
        <v>367</v>
      </c>
      <c r="K36" s="75" t="s">
        <v>142</v>
      </c>
      <c r="L36" s="75" t="s">
        <v>122</v>
      </c>
    </row>
    <row r="37" spans="1:12" s="86" customFormat="1" ht="30" customHeight="1" x14ac:dyDescent="0.25">
      <c r="A37" s="70" t="s">
        <v>412</v>
      </c>
      <c r="B37" s="71" t="s">
        <v>413</v>
      </c>
      <c r="C37" s="71" t="s">
        <v>378</v>
      </c>
      <c r="D37" s="71" t="s">
        <v>126</v>
      </c>
      <c r="E37" s="71" t="s">
        <v>414</v>
      </c>
      <c r="F37" s="77" t="s">
        <v>148</v>
      </c>
      <c r="G37" s="78" t="s">
        <v>415</v>
      </c>
      <c r="H37" s="72" t="s">
        <v>416</v>
      </c>
      <c r="I37" s="75" t="s">
        <v>417</v>
      </c>
      <c r="J37" s="75" t="s">
        <v>351</v>
      </c>
      <c r="K37" s="75" t="s">
        <v>261</v>
      </c>
      <c r="L37" s="75" t="s">
        <v>122</v>
      </c>
    </row>
    <row r="38" spans="1:12" s="76" customFormat="1" ht="30" customHeight="1" x14ac:dyDescent="0.25">
      <c r="A38" s="70" t="s">
        <v>418</v>
      </c>
      <c r="B38" s="71" t="s">
        <v>419</v>
      </c>
      <c r="C38" s="71" t="s">
        <v>420</v>
      </c>
      <c r="D38" s="71" t="s">
        <v>157</v>
      </c>
      <c r="E38" s="87" t="s">
        <v>421</v>
      </c>
      <c r="F38" s="77" t="s">
        <v>148</v>
      </c>
      <c r="G38" s="78" t="s">
        <v>422</v>
      </c>
      <c r="H38" s="72" t="s">
        <v>423</v>
      </c>
      <c r="I38" s="75" t="s">
        <v>424</v>
      </c>
      <c r="J38" s="75" t="s">
        <v>425</v>
      </c>
      <c r="K38" s="75" t="s">
        <v>244</v>
      </c>
      <c r="L38" s="75" t="s">
        <v>122</v>
      </c>
    </row>
  </sheetData>
  <autoFilter ref="A1:L38" xr:uid="{00000000-0009-0000-0000-000000000000}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8"/>
  <dimension ref="A1:V51"/>
  <sheetViews>
    <sheetView workbookViewId="0">
      <selection activeCell="C32" sqref="C32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436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>
        <f>SUM(C9:N9)</f>
        <v>0</v>
      </c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>
        <f>SUM(C11:N11)</f>
        <v>0</v>
      </c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0</v>
      </c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>
        <f>SUM(O9:O14)</f>
        <v>0</v>
      </c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 t="shared" si="2"/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 t="shared" ref="D19:N19" si="3">IF(D17*5%&lt;500000,D17*5%,500000)</f>
        <v>0</v>
      </c>
      <c r="E19" s="37">
        <f t="shared" si="3"/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 t="shared" ref="C24:N24" si="5">C17-C22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72000000</v>
      </c>
      <c r="D27" s="53">
        <f>C27</f>
        <v>72000000</v>
      </c>
      <c r="E27" s="53">
        <f t="shared" ref="E27:M27" si="6">D27</f>
        <v>72000000</v>
      </c>
      <c r="F27" s="53">
        <f t="shared" si="6"/>
        <v>72000000</v>
      </c>
      <c r="G27" s="53">
        <f t="shared" si="6"/>
        <v>72000000</v>
      </c>
      <c r="H27" s="53">
        <f>G27</f>
        <v>72000000</v>
      </c>
      <c r="I27" s="53">
        <f t="shared" si="6"/>
        <v>72000000</v>
      </c>
      <c r="J27" s="53">
        <f t="shared" si="6"/>
        <v>72000000</v>
      </c>
      <c r="K27" s="53">
        <f t="shared" si="6"/>
        <v>72000000</v>
      </c>
      <c r="L27" s="53">
        <f t="shared" si="6"/>
        <v>72000000</v>
      </c>
      <c r="M27" s="53">
        <f t="shared" si="6"/>
        <v>72000000</v>
      </c>
      <c r="N27" s="53">
        <f>M27</f>
        <v>72000000</v>
      </c>
      <c r="O27" s="53">
        <f>N27</f>
        <v>72000000</v>
      </c>
      <c r="P27" s="103">
        <f>O27</f>
        <v>72000000</v>
      </c>
      <c r="Q27" s="103">
        <f>P27</f>
        <v>72000000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(G31/12*5*120%-SUM(C32:F32))+P33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9:N9 D10:N14 P9:Q14" xr:uid="{00000000-0002-0000-0900-000000000000}"/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3268-B630-4FC1-8F3B-0E8498C65146}">
  <dimension ref="A1:V74"/>
  <sheetViews>
    <sheetView topLeftCell="E1" zoomScale="52" workbookViewId="0">
      <selection activeCell="P12" sqref="P12:Q12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4" width="15.28515625" style="3" bestFit="1" customWidth="1"/>
    <col min="5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14" t="s">
        <v>666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/>
      <c r="D13" s="92"/>
      <c r="E13" s="162"/>
      <c r="F13" s="92"/>
      <c r="G13" s="92"/>
      <c r="H13" s="92"/>
      <c r="I13" s="92"/>
      <c r="J13" s="92">
        <v>340909</v>
      </c>
      <c r="K13" s="92">
        <v>1500000</v>
      </c>
      <c r="L13" s="92">
        <v>1500000</v>
      </c>
      <c r="M13" s="92">
        <v>1500000</v>
      </c>
      <c r="N13" s="92">
        <v>1500000</v>
      </c>
      <c r="O13" s="32">
        <f>SUM(C13:N13)</f>
        <v>6340909</v>
      </c>
      <c r="P13" s="123">
        <f t="shared" ref="P13:P18" si="1">Q13</f>
        <v>0</v>
      </c>
      <c r="Q13" s="123">
        <f t="shared" ref="Q13:Q18" si="2">G13*12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si="2"/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0</v>
      </c>
      <c r="D19" s="37">
        <f>SUM(D13:D18)</f>
        <v>0</v>
      </c>
      <c r="E19" s="37">
        <f t="shared" ref="E19:N19" si="3">SUM(E13:E18)</f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340909</v>
      </c>
      <c r="K19" s="37">
        <f t="shared" si="3"/>
        <v>1500000</v>
      </c>
      <c r="L19" s="37">
        <f t="shared" si="3"/>
        <v>1500000</v>
      </c>
      <c r="M19" s="37">
        <f t="shared" si="3"/>
        <v>1500000</v>
      </c>
      <c r="N19" s="37">
        <f t="shared" si="3"/>
        <v>1500000</v>
      </c>
      <c r="O19" s="38">
        <f>SUM(O13:O18)</f>
        <v>6340909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0</v>
      </c>
      <c r="D21" s="259">
        <f t="shared" ref="D21:N21" si="4">D19+D20</f>
        <v>0</v>
      </c>
      <c r="E21" s="259">
        <f t="shared" si="4"/>
        <v>0</v>
      </c>
      <c r="F21" s="259">
        <f t="shared" si="4"/>
        <v>0</v>
      </c>
      <c r="G21" s="259">
        <f>G19+G20</f>
        <v>0</v>
      </c>
      <c r="H21" s="259">
        <f t="shared" si="4"/>
        <v>0</v>
      </c>
      <c r="I21" s="259">
        <f t="shared" si="4"/>
        <v>0</v>
      </c>
      <c r="J21" s="259">
        <f t="shared" si="4"/>
        <v>340909</v>
      </c>
      <c r="K21" s="259">
        <f t="shared" si="4"/>
        <v>1500000</v>
      </c>
      <c r="L21" s="259">
        <f t="shared" si="4"/>
        <v>1500000</v>
      </c>
      <c r="M21" s="259">
        <f t="shared" si="4"/>
        <v>1500000</v>
      </c>
      <c r="N21" s="259">
        <f t="shared" si="4"/>
        <v>1500000</v>
      </c>
      <c r="O21" s="259">
        <f>O19+O20</f>
        <v>6340909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0</v>
      </c>
      <c r="D23" s="257">
        <f t="shared" ref="D23:O23" si="5">IF(D21*5%&lt;500000,D21*5%,500000)</f>
        <v>0</v>
      </c>
      <c r="E23" s="257">
        <f t="shared" si="5"/>
        <v>0</v>
      </c>
      <c r="F23" s="257">
        <f t="shared" si="5"/>
        <v>0</v>
      </c>
      <c r="G23" s="257">
        <f>IF(G21*5%&lt;500000,G21*5%,500000)</f>
        <v>0</v>
      </c>
      <c r="H23" s="257">
        <f t="shared" si="5"/>
        <v>0</v>
      </c>
      <c r="I23" s="257">
        <f t="shared" si="5"/>
        <v>0</v>
      </c>
      <c r="J23" s="257">
        <f t="shared" si="5"/>
        <v>17045.45</v>
      </c>
      <c r="K23" s="257">
        <f t="shared" si="5"/>
        <v>75000</v>
      </c>
      <c r="L23" s="257">
        <f t="shared" si="5"/>
        <v>75000</v>
      </c>
      <c r="M23" s="257">
        <f t="shared" si="5"/>
        <v>75000</v>
      </c>
      <c r="N23" s="257">
        <f t="shared" si="5"/>
        <v>75000</v>
      </c>
      <c r="O23" s="257">
        <f>IF(O21*5%&lt;6000000,O21*5%,6000000)</f>
        <v>317045.45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0</v>
      </c>
      <c r="D26" s="257">
        <f t="shared" si="6"/>
        <v>0</v>
      </c>
      <c r="E26" s="257">
        <f t="shared" si="6"/>
        <v>0</v>
      </c>
      <c r="F26" s="257">
        <f t="shared" si="6"/>
        <v>0</v>
      </c>
      <c r="G26" s="257">
        <f>SUM(G23:G25)</f>
        <v>0</v>
      </c>
      <c r="H26" s="257">
        <f t="shared" si="6"/>
        <v>0</v>
      </c>
      <c r="I26" s="257">
        <f t="shared" si="6"/>
        <v>0</v>
      </c>
      <c r="J26" s="257">
        <f t="shared" si="6"/>
        <v>17045.45</v>
      </c>
      <c r="K26" s="257">
        <f t="shared" si="6"/>
        <v>75000</v>
      </c>
      <c r="L26" s="257">
        <f t="shared" si="6"/>
        <v>75000</v>
      </c>
      <c r="M26" s="257">
        <f t="shared" si="6"/>
        <v>75000</v>
      </c>
      <c r="N26" s="257">
        <f t="shared" si="6"/>
        <v>75000</v>
      </c>
      <c r="O26" s="263">
        <f>SUM(O22:O25)</f>
        <v>317045.45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0</v>
      </c>
      <c r="D28" s="255">
        <f t="shared" ref="D28:O28" si="7">D21-D26</f>
        <v>0</v>
      </c>
      <c r="E28" s="255">
        <f t="shared" si="7"/>
        <v>0</v>
      </c>
      <c r="F28" s="255">
        <f t="shared" si="7"/>
        <v>0</v>
      </c>
      <c r="G28" s="255">
        <f>G21-G26</f>
        <v>0</v>
      </c>
      <c r="H28" s="255">
        <f t="shared" si="7"/>
        <v>0</v>
      </c>
      <c r="I28" s="255">
        <f t="shared" si="7"/>
        <v>0</v>
      </c>
      <c r="J28" s="255">
        <f t="shared" si="7"/>
        <v>323863.55</v>
      </c>
      <c r="K28" s="255">
        <f t="shared" si="7"/>
        <v>1425000</v>
      </c>
      <c r="L28" s="255">
        <f t="shared" si="7"/>
        <v>1425000</v>
      </c>
      <c r="M28" s="255">
        <f t="shared" si="7"/>
        <v>1425000</v>
      </c>
      <c r="N28" s="255">
        <f t="shared" si="7"/>
        <v>1425000</v>
      </c>
      <c r="O28" s="255">
        <f t="shared" si="7"/>
        <v>6023863.5499999998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0</v>
      </c>
      <c r="D30" s="253">
        <f>SUM(C28:D28)*D10/D11</f>
        <v>0</v>
      </c>
      <c r="E30" s="253">
        <f>SUM(C28:E28)*E10/E11</f>
        <v>0</v>
      </c>
      <c r="F30" s="253">
        <f>SUM(C28:F28)*F10/F11</f>
        <v>0</v>
      </c>
      <c r="G30" s="253">
        <f>SUM(C28:G28)*G10/G11</f>
        <v>0</v>
      </c>
      <c r="H30" s="253">
        <f>SUM(C28:H28)*H10/H11</f>
        <v>0</v>
      </c>
      <c r="I30" s="253">
        <f>SUM(C28:I28)*I10/I11</f>
        <v>0</v>
      </c>
      <c r="J30" s="253">
        <f>SUM(C28:J28)*J10/J11</f>
        <v>485795.32499999995</v>
      </c>
      <c r="K30" s="253">
        <f>SUM(C28:K28)*K10/K11</f>
        <v>2331818.0666666669</v>
      </c>
      <c r="L30" s="253">
        <f>SUM(C28:L28)*L10/L11</f>
        <v>3808636.2599999993</v>
      </c>
      <c r="M30" s="253">
        <f>SUM(C28:M28)*M10/M11</f>
        <v>5016942.0545454537</v>
      </c>
      <c r="N30" s="253">
        <f>SUM(C28:N28)*N10/N11</f>
        <v>6023863.5499999998</v>
      </c>
      <c r="O30" s="254">
        <f>O28</f>
        <v>6023863.5499999998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0</v>
      </c>
      <c r="D31" s="255">
        <f t="shared" si="8"/>
        <v>0</v>
      </c>
      <c r="E31" s="255">
        <f t="shared" si="8"/>
        <v>0</v>
      </c>
      <c r="F31" s="255">
        <f t="shared" si="8"/>
        <v>0</v>
      </c>
      <c r="G31" s="255">
        <f>IF(G30&gt;0,VLOOKUP(G9,$B$47:$C$59,2,FALSE),0)</f>
        <v>0</v>
      </c>
      <c r="H31" s="255">
        <f t="shared" si="8"/>
        <v>0</v>
      </c>
      <c r="I31" s="255">
        <f t="shared" si="8"/>
        <v>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103">
        <f>IF(P32&lt;0,0,IF(P32&lt;50000000,P32*5%,IF(P32&lt;250000000,(P32-50000000)*15%+2500000,IF(P32&lt;500000000,(P32-250000000)*25%+32500000,IF(P32&gt;500000000,(P32-500000000)*30%+95000000)))))</f>
        <v>0</v>
      </c>
      <c r="Q33" s="103">
        <f>IF(Q32&lt;0,0,IF(Q32&lt;50000000,Q32*5%,IF(Q32&lt;250000000,(Q32-50000000)*15%+2500000,IF(Q32&lt;500000000,(Q32-250000000)*25%+32500000,IF(Q32&gt;500000000,(Q32-500000000)*30%+95000000)))))</f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2">D33-D34</f>
        <v>0</v>
      </c>
      <c r="E35" s="255">
        <f t="shared" si="12"/>
        <v>0</v>
      </c>
      <c r="F35" s="255">
        <f t="shared" si="12"/>
        <v>0</v>
      </c>
      <c r="G35" s="255">
        <f t="shared" si="12"/>
        <v>0</v>
      </c>
      <c r="H35" s="255">
        <f t="shared" si="12"/>
        <v>0</v>
      </c>
      <c r="I35" s="255">
        <f t="shared" si="12"/>
        <v>0</v>
      </c>
      <c r="J35" s="255">
        <f t="shared" si="12"/>
        <v>0</v>
      </c>
      <c r="K35" s="255">
        <f t="shared" si="12"/>
        <v>0</v>
      </c>
      <c r="L35" s="255">
        <f t="shared" si="12"/>
        <v>0</v>
      </c>
      <c r="M35" s="255">
        <f t="shared" si="12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3">C21-C25-C36</f>
        <v>0</v>
      </c>
      <c r="D41" s="50">
        <f t="shared" si="13"/>
        <v>0</v>
      </c>
      <c r="E41" s="50">
        <f t="shared" si="13"/>
        <v>0</v>
      </c>
      <c r="F41" s="50">
        <f t="shared" si="13"/>
        <v>0</v>
      </c>
      <c r="G41" s="50">
        <f t="shared" si="13"/>
        <v>0</v>
      </c>
      <c r="H41" s="50">
        <f t="shared" si="13"/>
        <v>0</v>
      </c>
      <c r="I41" s="50">
        <f t="shared" si="13"/>
        <v>0</v>
      </c>
      <c r="J41" s="50">
        <f t="shared" si="13"/>
        <v>340909</v>
      </c>
      <c r="K41" s="50">
        <f>K21-K25-K36</f>
        <v>1500000</v>
      </c>
      <c r="L41" s="50">
        <f>L21-L25-L36</f>
        <v>1500000</v>
      </c>
      <c r="M41" s="50">
        <f>M21-M25-M36</f>
        <v>1500000</v>
      </c>
      <c r="N41" s="50">
        <f>N21-N25-N36</f>
        <v>1500000</v>
      </c>
      <c r="O41" s="50">
        <f>O21-O25-O36-O38</f>
        <v>6340909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  <row r="63" spans="2:17" x14ac:dyDescent="0.25">
      <c r="D63" s="157">
        <v>835241686.27999997</v>
      </c>
    </row>
    <row r="64" spans="2:17" x14ac:dyDescent="0.25">
      <c r="D64" s="157">
        <v>724991686.27999997</v>
      </c>
    </row>
    <row r="66" spans="3:4" x14ac:dyDescent="0.25">
      <c r="D66" s="158">
        <f>D63-D64</f>
        <v>110250000</v>
      </c>
    </row>
    <row r="67" spans="3:4" x14ac:dyDescent="0.25">
      <c r="C67" s="157"/>
    </row>
    <row r="68" spans="3:4" x14ac:dyDescent="0.25">
      <c r="C68" s="157"/>
      <c r="D68" s="157">
        <v>110250000</v>
      </c>
    </row>
    <row r="69" spans="3:4" x14ac:dyDescent="0.25">
      <c r="C69" s="157"/>
    </row>
    <row r="70" spans="3:4" x14ac:dyDescent="0.25">
      <c r="C70" s="157"/>
    </row>
    <row r="71" spans="3:4" x14ac:dyDescent="0.25">
      <c r="C71" s="157"/>
    </row>
    <row r="72" spans="3:4" x14ac:dyDescent="0.25">
      <c r="C72" s="157"/>
    </row>
    <row r="73" spans="3:4" x14ac:dyDescent="0.25">
      <c r="C73" s="157"/>
    </row>
    <row r="74" spans="3:4" x14ac:dyDescent="0.25">
      <c r="C74" s="157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13:N13 D14:N18 P13:Q18" xr:uid="{AC1FE506-0313-4BDD-B5D5-E0D7A6B53FFC}"/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V59"/>
  <sheetViews>
    <sheetView topLeftCell="F1" zoomScale="69" workbookViewId="0">
      <selection activeCell="P12" sqref="P12:Q12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691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92"/>
      <c r="D13" s="92"/>
      <c r="E13" s="92"/>
      <c r="F13" s="92"/>
      <c r="G13" s="92"/>
      <c r="H13" s="92"/>
      <c r="I13" s="92"/>
      <c r="J13" s="92"/>
      <c r="K13" s="92">
        <v>820000</v>
      </c>
      <c r="L13" s="92">
        <v>820000</v>
      </c>
      <c r="M13" s="92">
        <v>1500000</v>
      </c>
      <c r="N13" s="92">
        <v>1500000</v>
      </c>
      <c r="O13" s="32">
        <f>SUM(C13:N13)</f>
        <v>4640000</v>
      </c>
      <c r="P13" s="123">
        <f t="shared" ref="P13:P18" si="1">Q13</f>
        <v>0</v>
      </c>
      <c r="Q13" s="123">
        <f t="shared" ref="Q13:Q18" si="2">G13*12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si="2"/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/>
      <c r="D19" s="37"/>
      <c r="E19" s="37"/>
      <c r="F19" s="37"/>
      <c r="G19" s="37"/>
      <c r="H19" s="37"/>
      <c r="I19" s="37"/>
      <c r="J19" s="37"/>
      <c r="K19" s="37">
        <f t="shared" ref="K19:N19" si="3">SUM(K13:K18)</f>
        <v>820000</v>
      </c>
      <c r="L19" s="37">
        <f t="shared" si="3"/>
        <v>820000</v>
      </c>
      <c r="M19" s="37">
        <f t="shared" si="3"/>
        <v>1500000</v>
      </c>
      <c r="N19" s="37">
        <f t="shared" si="3"/>
        <v>1500000</v>
      </c>
      <c r="O19" s="38">
        <f>SUM(O13:O18)</f>
        <v>4640000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0</v>
      </c>
      <c r="D21" s="259">
        <f t="shared" ref="D21:N21" si="4">D19+D20</f>
        <v>0</v>
      </c>
      <c r="E21" s="259">
        <f t="shared" si="4"/>
        <v>0</v>
      </c>
      <c r="F21" s="259">
        <f t="shared" si="4"/>
        <v>0</v>
      </c>
      <c r="G21" s="259">
        <f>G19+G20</f>
        <v>0</v>
      </c>
      <c r="H21" s="259">
        <f t="shared" si="4"/>
        <v>0</v>
      </c>
      <c r="I21" s="259">
        <f t="shared" si="4"/>
        <v>0</v>
      </c>
      <c r="J21" s="259">
        <f t="shared" si="4"/>
        <v>0</v>
      </c>
      <c r="K21" s="259">
        <f t="shared" si="4"/>
        <v>820000</v>
      </c>
      <c r="L21" s="259">
        <f t="shared" si="4"/>
        <v>820000</v>
      </c>
      <c r="M21" s="259">
        <f t="shared" si="4"/>
        <v>1500000</v>
      </c>
      <c r="N21" s="259">
        <f t="shared" si="4"/>
        <v>1500000</v>
      </c>
      <c r="O21" s="259">
        <f>O19+O20</f>
        <v>4640000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0</v>
      </c>
      <c r="D23" s="257">
        <f t="shared" ref="D23:O23" si="5">IF(D21*5%&lt;500000,D21*5%,500000)</f>
        <v>0</v>
      </c>
      <c r="E23" s="257">
        <f t="shared" si="5"/>
        <v>0</v>
      </c>
      <c r="F23" s="257">
        <f t="shared" si="5"/>
        <v>0</v>
      </c>
      <c r="G23" s="257">
        <f>IF(G21*5%&lt;500000,G21*5%,500000)</f>
        <v>0</v>
      </c>
      <c r="H23" s="257">
        <f t="shared" si="5"/>
        <v>0</v>
      </c>
      <c r="I23" s="257">
        <f t="shared" si="5"/>
        <v>0</v>
      </c>
      <c r="J23" s="257">
        <f t="shared" si="5"/>
        <v>0</v>
      </c>
      <c r="K23" s="257">
        <f t="shared" si="5"/>
        <v>41000</v>
      </c>
      <c r="L23" s="257">
        <f t="shared" si="5"/>
        <v>41000</v>
      </c>
      <c r="M23" s="257">
        <f t="shared" si="5"/>
        <v>75000</v>
      </c>
      <c r="N23" s="257">
        <f t="shared" si="5"/>
        <v>75000</v>
      </c>
      <c r="O23" s="257">
        <f>IF(O21*5%&lt;6000000,O21*5%,6000000)</f>
        <v>232000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0</v>
      </c>
      <c r="D26" s="257">
        <f t="shared" si="6"/>
        <v>0</v>
      </c>
      <c r="E26" s="257">
        <f t="shared" si="6"/>
        <v>0</v>
      </c>
      <c r="F26" s="257">
        <f t="shared" si="6"/>
        <v>0</v>
      </c>
      <c r="G26" s="257">
        <f>SUM(G23:G25)</f>
        <v>0</v>
      </c>
      <c r="H26" s="257">
        <f t="shared" si="6"/>
        <v>0</v>
      </c>
      <c r="I26" s="257">
        <f t="shared" si="6"/>
        <v>0</v>
      </c>
      <c r="J26" s="257">
        <f t="shared" si="6"/>
        <v>0</v>
      </c>
      <c r="K26" s="257">
        <f t="shared" si="6"/>
        <v>41000</v>
      </c>
      <c r="L26" s="257">
        <f t="shared" si="6"/>
        <v>41000</v>
      </c>
      <c r="M26" s="257">
        <f t="shared" si="6"/>
        <v>75000</v>
      </c>
      <c r="N26" s="257">
        <f t="shared" si="6"/>
        <v>75000</v>
      </c>
      <c r="O26" s="263">
        <f>SUM(O22:O25)</f>
        <v>232000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0</v>
      </c>
      <c r="D28" s="255">
        <f t="shared" ref="D28:O28" si="7">D21-D26</f>
        <v>0</v>
      </c>
      <c r="E28" s="255">
        <f t="shared" si="7"/>
        <v>0</v>
      </c>
      <c r="F28" s="255">
        <f t="shared" si="7"/>
        <v>0</v>
      </c>
      <c r="G28" s="255">
        <f>G21-G26</f>
        <v>0</v>
      </c>
      <c r="H28" s="255">
        <f t="shared" si="7"/>
        <v>0</v>
      </c>
      <c r="I28" s="255">
        <f t="shared" si="7"/>
        <v>0</v>
      </c>
      <c r="J28" s="255">
        <f t="shared" si="7"/>
        <v>0</v>
      </c>
      <c r="K28" s="255">
        <f t="shared" si="7"/>
        <v>779000</v>
      </c>
      <c r="L28" s="255">
        <f t="shared" si="7"/>
        <v>779000</v>
      </c>
      <c r="M28" s="255">
        <f t="shared" si="7"/>
        <v>1425000</v>
      </c>
      <c r="N28" s="255">
        <f t="shared" si="7"/>
        <v>1425000</v>
      </c>
      <c r="O28" s="255">
        <f t="shared" si="7"/>
        <v>4408000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0</v>
      </c>
      <c r="D30" s="253">
        <f>SUM(C28:D28)*D10/D11</f>
        <v>0</v>
      </c>
      <c r="E30" s="253">
        <f>SUM(C28:E28)*E10/E11</f>
        <v>0</v>
      </c>
      <c r="F30" s="253">
        <f>SUM(C28:F28)*F10/F11</f>
        <v>0</v>
      </c>
      <c r="G30" s="253">
        <f>SUM(C28:G28)*G10/G11</f>
        <v>0</v>
      </c>
      <c r="H30" s="253">
        <f>SUM(C28:H28)*H10/H11</f>
        <v>0</v>
      </c>
      <c r="I30" s="253">
        <f>SUM(C28:I28)*I10/I11</f>
        <v>0</v>
      </c>
      <c r="J30" s="253">
        <f>SUM(C28:J28)*J10/J11</f>
        <v>0</v>
      </c>
      <c r="K30" s="253">
        <f>SUM(C28:K28)*K10/K11</f>
        <v>1038666.6666666666</v>
      </c>
      <c r="L30" s="253">
        <f>SUM(C28:L28)*L10/L11</f>
        <v>1869600</v>
      </c>
      <c r="M30" s="253">
        <f>SUM(C28:M28)*M10/M11</f>
        <v>3254181.8181818184</v>
      </c>
      <c r="N30" s="253">
        <f>SUM(C28:N28)*N10/N11</f>
        <v>4408000</v>
      </c>
      <c r="O30" s="254">
        <f>O28</f>
        <v>4408000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0</v>
      </c>
      <c r="D31" s="255">
        <f t="shared" si="8"/>
        <v>0</v>
      </c>
      <c r="E31" s="255">
        <f t="shared" si="8"/>
        <v>0</v>
      </c>
      <c r="F31" s="255">
        <f t="shared" si="8"/>
        <v>0</v>
      </c>
      <c r="G31" s="255">
        <f>IF(G30&gt;0,VLOOKUP(G9,$B$47:$C$59,2,FALSE),0)</f>
        <v>0</v>
      </c>
      <c r="H31" s="255">
        <f t="shared" si="8"/>
        <v>0</v>
      </c>
      <c r="I31" s="255">
        <f t="shared" si="8"/>
        <v>0</v>
      </c>
      <c r="J31" s="255">
        <f t="shared" si="8"/>
        <v>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103">
        <f>IF(P32&lt;0,0,IF(P32&lt;50000000,P32*5%,IF(P32&lt;250000000,(P32-50000000)*15%+2500000,IF(P32&lt;500000000,(P32-250000000)*25%+32500000,IF(P32&gt;500000000,(P32-500000000)*30%+95000000)))))</f>
        <v>0</v>
      </c>
      <c r="Q33" s="103">
        <f>IF(Q32&lt;0,0,IF(Q32&lt;50000000,Q32*5%,IF(Q32&lt;250000000,(Q32-50000000)*15%+2500000,IF(Q32&lt;500000000,(Q32-250000000)*25%+32500000,IF(Q32&gt;500000000,(Q32-500000000)*30%+95000000)))))</f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2">D33-D34</f>
        <v>0</v>
      </c>
      <c r="E35" s="255">
        <f t="shared" si="12"/>
        <v>0</v>
      </c>
      <c r="F35" s="255">
        <f t="shared" si="12"/>
        <v>0</v>
      </c>
      <c r="G35" s="255">
        <f t="shared" si="12"/>
        <v>0</v>
      </c>
      <c r="H35" s="255">
        <f t="shared" si="12"/>
        <v>0</v>
      </c>
      <c r="I35" s="255">
        <f t="shared" si="12"/>
        <v>0</v>
      </c>
      <c r="J35" s="255">
        <f t="shared" si="12"/>
        <v>0</v>
      </c>
      <c r="K35" s="255">
        <f t="shared" si="12"/>
        <v>0</v>
      </c>
      <c r="L35" s="255">
        <f t="shared" si="12"/>
        <v>0</v>
      </c>
      <c r="M35" s="255">
        <f t="shared" si="12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3">C21-C25-C36</f>
        <v>0</v>
      </c>
      <c r="D41" s="50">
        <f t="shared" si="13"/>
        <v>0</v>
      </c>
      <c r="E41" s="50">
        <f t="shared" si="13"/>
        <v>0</v>
      </c>
      <c r="F41" s="50">
        <f t="shared" si="13"/>
        <v>0</v>
      </c>
      <c r="G41" s="50">
        <f t="shared" si="13"/>
        <v>0</v>
      </c>
      <c r="H41" s="50">
        <f t="shared" si="13"/>
        <v>0</v>
      </c>
      <c r="I41" s="50">
        <f t="shared" si="13"/>
        <v>0</v>
      </c>
      <c r="J41" s="50">
        <f t="shared" si="13"/>
        <v>0</v>
      </c>
      <c r="K41" s="50">
        <f>K21-K25-K36</f>
        <v>820000</v>
      </c>
      <c r="L41" s="50">
        <f>L21-L25-L36</f>
        <v>820000</v>
      </c>
      <c r="M41" s="50">
        <f>M21-M25-M36</f>
        <v>1500000</v>
      </c>
      <c r="N41" s="50">
        <f>N21-N25-N36</f>
        <v>1500000</v>
      </c>
      <c r="O41" s="50">
        <f>O21-O25-O36-O38</f>
        <v>4640000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4B00-000000000000}"/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AAD0-DB93-4AE2-BC09-AF2BDACEC249}">
  <dimension ref="A1:V59"/>
  <sheetViews>
    <sheetView topLeftCell="C1" zoomScale="69" workbookViewId="0">
      <selection activeCell="P12" sqref="P12:Q12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692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>
        <v>4500000</v>
      </c>
      <c r="O13" s="32">
        <f>SUM(C13:N13)</f>
        <v>4500000</v>
      </c>
      <c r="P13" s="123">
        <f t="shared" ref="P13:P18" si="1">Q13</f>
        <v>0</v>
      </c>
      <c r="Q13" s="123">
        <f t="shared" ref="Q13:Q18" si="2">G13*12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si="2"/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/>
      <c r="D19" s="37"/>
      <c r="E19" s="37"/>
      <c r="F19" s="37"/>
      <c r="G19" s="37"/>
      <c r="H19" s="37"/>
      <c r="I19" s="37"/>
      <c r="J19" s="37"/>
      <c r="K19" s="37">
        <f t="shared" ref="K19:N19" si="3">SUM(K13:K18)</f>
        <v>0</v>
      </c>
      <c r="L19" s="37">
        <f t="shared" si="3"/>
        <v>0</v>
      </c>
      <c r="M19" s="37">
        <f t="shared" si="3"/>
        <v>0</v>
      </c>
      <c r="N19" s="37">
        <f t="shared" si="3"/>
        <v>4500000</v>
      </c>
      <c r="O19" s="38">
        <f>SUM(O13:O18)</f>
        <v>4500000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0</v>
      </c>
      <c r="D21" s="259">
        <f t="shared" ref="D21:N21" si="4">D19+D20</f>
        <v>0</v>
      </c>
      <c r="E21" s="259">
        <f t="shared" si="4"/>
        <v>0</v>
      </c>
      <c r="F21" s="259">
        <f t="shared" si="4"/>
        <v>0</v>
      </c>
      <c r="G21" s="259">
        <f>G19+G20</f>
        <v>0</v>
      </c>
      <c r="H21" s="259">
        <f t="shared" si="4"/>
        <v>0</v>
      </c>
      <c r="I21" s="259">
        <f t="shared" si="4"/>
        <v>0</v>
      </c>
      <c r="J21" s="259">
        <f t="shared" si="4"/>
        <v>0</v>
      </c>
      <c r="K21" s="259">
        <f t="shared" si="4"/>
        <v>0</v>
      </c>
      <c r="L21" s="259">
        <f t="shared" si="4"/>
        <v>0</v>
      </c>
      <c r="M21" s="259">
        <f t="shared" si="4"/>
        <v>0</v>
      </c>
      <c r="N21" s="259">
        <f t="shared" si="4"/>
        <v>4500000</v>
      </c>
      <c r="O21" s="259">
        <f>O19+O20</f>
        <v>4500000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0</v>
      </c>
      <c r="D23" s="257">
        <f t="shared" ref="D23:O23" si="5">IF(D21*5%&lt;500000,D21*5%,500000)</f>
        <v>0</v>
      </c>
      <c r="E23" s="257">
        <f t="shared" si="5"/>
        <v>0</v>
      </c>
      <c r="F23" s="257">
        <f t="shared" si="5"/>
        <v>0</v>
      </c>
      <c r="G23" s="257">
        <f>IF(G21*5%&lt;500000,G21*5%,500000)</f>
        <v>0</v>
      </c>
      <c r="H23" s="257">
        <f t="shared" si="5"/>
        <v>0</v>
      </c>
      <c r="I23" s="257">
        <f t="shared" si="5"/>
        <v>0</v>
      </c>
      <c r="J23" s="257">
        <f t="shared" si="5"/>
        <v>0</v>
      </c>
      <c r="K23" s="257">
        <f t="shared" si="5"/>
        <v>0</v>
      </c>
      <c r="L23" s="257">
        <f t="shared" si="5"/>
        <v>0</v>
      </c>
      <c r="M23" s="257">
        <f t="shared" si="5"/>
        <v>0</v>
      </c>
      <c r="N23" s="257">
        <f t="shared" si="5"/>
        <v>225000</v>
      </c>
      <c r="O23" s="257">
        <f>IF(O21*5%&lt;6000000,O21*5%,6000000)</f>
        <v>225000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0</v>
      </c>
      <c r="D26" s="257">
        <f t="shared" si="6"/>
        <v>0</v>
      </c>
      <c r="E26" s="257">
        <f t="shared" si="6"/>
        <v>0</v>
      </c>
      <c r="F26" s="257">
        <f t="shared" si="6"/>
        <v>0</v>
      </c>
      <c r="G26" s="257">
        <f>SUM(G23:G25)</f>
        <v>0</v>
      </c>
      <c r="H26" s="257">
        <f t="shared" si="6"/>
        <v>0</v>
      </c>
      <c r="I26" s="257">
        <f t="shared" si="6"/>
        <v>0</v>
      </c>
      <c r="J26" s="257">
        <f t="shared" si="6"/>
        <v>0</v>
      </c>
      <c r="K26" s="257">
        <f t="shared" si="6"/>
        <v>0</v>
      </c>
      <c r="L26" s="257">
        <f t="shared" si="6"/>
        <v>0</v>
      </c>
      <c r="M26" s="257">
        <f t="shared" si="6"/>
        <v>0</v>
      </c>
      <c r="N26" s="257">
        <f t="shared" si="6"/>
        <v>225000</v>
      </c>
      <c r="O26" s="263">
        <f>SUM(O22:O25)</f>
        <v>225000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0</v>
      </c>
      <c r="D28" s="255">
        <f t="shared" ref="D28:O28" si="7">D21-D26</f>
        <v>0</v>
      </c>
      <c r="E28" s="255">
        <f t="shared" si="7"/>
        <v>0</v>
      </c>
      <c r="F28" s="255">
        <f t="shared" si="7"/>
        <v>0</v>
      </c>
      <c r="G28" s="255">
        <f>G21-G26</f>
        <v>0</v>
      </c>
      <c r="H28" s="255">
        <f t="shared" si="7"/>
        <v>0</v>
      </c>
      <c r="I28" s="255">
        <f t="shared" si="7"/>
        <v>0</v>
      </c>
      <c r="J28" s="255">
        <f t="shared" si="7"/>
        <v>0</v>
      </c>
      <c r="K28" s="255">
        <f t="shared" si="7"/>
        <v>0</v>
      </c>
      <c r="L28" s="255">
        <f t="shared" si="7"/>
        <v>0</v>
      </c>
      <c r="M28" s="255">
        <f t="shared" si="7"/>
        <v>0</v>
      </c>
      <c r="N28" s="255">
        <f t="shared" si="7"/>
        <v>4275000</v>
      </c>
      <c r="O28" s="255">
        <f t="shared" si="7"/>
        <v>4275000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0</v>
      </c>
      <c r="D30" s="253">
        <f>SUM(C28:D28)*D10/D11</f>
        <v>0</v>
      </c>
      <c r="E30" s="253">
        <f>SUM(C28:E28)*E10/E11</f>
        <v>0</v>
      </c>
      <c r="F30" s="253">
        <f>SUM(C28:F28)*F10/F11</f>
        <v>0</v>
      </c>
      <c r="G30" s="253">
        <f>SUM(C28:G28)*G10/G11</f>
        <v>0</v>
      </c>
      <c r="H30" s="253">
        <f>SUM(C28:H28)*H10/H11</f>
        <v>0</v>
      </c>
      <c r="I30" s="253">
        <f>SUM(C28:I28)*I10/I11</f>
        <v>0</v>
      </c>
      <c r="J30" s="253">
        <f>SUM(C28:J28)*J10/J11</f>
        <v>0</v>
      </c>
      <c r="K30" s="253">
        <f>SUM(C28:K28)*K10/K11</f>
        <v>0</v>
      </c>
      <c r="L30" s="253">
        <f>SUM(C28:L28)*L10/L11</f>
        <v>0</v>
      </c>
      <c r="M30" s="253">
        <f>SUM(C28:M28)*M10/M11</f>
        <v>0</v>
      </c>
      <c r="N30" s="253">
        <f>SUM(C28:N28)*N10/N11</f>
        <v>4275000</v>
      </c>
      <c r="O30" s="254">
        <f>O28</f>
        <v>4275000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0</v>
      </c>
      <c r="D31" s="255">
        <f t="shared" si="8"/>
        <v>0</v>
      </c>
      <c r="E31" s="255">
        <f t="shared" si="8"/>
        <v>0</v>
      </c>
      <c r="F31" s="255">
        <f t="shared" si="8"/>
        <v>0</v>
      </c>
      <c r="G31" s="255">
        <f>IF(G30&gt;0,VLOOKUP(G9,$B$47:$C$59,2,FALSE),0)</f>
        <v>0</v>
      </c>
      <c r="H31" s="255">
        <f t="shared" si="8"/>
        <v>0</v>
      </c>
      <c r="I31" s="255">
        <f t="shared" si="8"/>
        <v>0</v>
      </c>
      <c r="J31" s="255">
        <f t="shared" si="8"/>
        <v>0</v>
      </c>
      <c r="K31" s="255">
        <f t="shared" si="8"/>
        <v>0</v>
      </c>
      <c r="L31" s="255">
        <f t="shared" si="8"/>
        <v>0</v>
      </c>
      <c r="M31" s="255">
        <f t="shared" si="8"/>
        <v>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Q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si="9"/>
        <v>0</v>
      </c>
      <c r="Q32" s="103">
        <f t="shared" si="9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0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0"/>
        <v>0</v>
      </c>
      <c r="E33" s="257">
        <f t="shared" si="10"/>
        <v>0</v>
      </c>
      <c r="F33" s="257">
        <f t="shared" si="10"/>
        <v>0</v>
      </c>
      <c r="G33" s="257">
        <f t="shared" si="10"/>
        <v>0</v>
      </c>
      <c r="H33" s="257">
        <f t="shared" si="10"/>
        <v>0</v>
      </c>
      <c r="I33" s="257">
        <f t="shared" si="10"/>
        <v>0</v>
      </c>
      <c r="J33" s="257">
        <f t="shared" si="10"/>
        <v>0</v>
      </c>
      <c r="K33" s="257">
        <f t="shared" si="10"/>
        <v>0</v>
      </c>
      <c r="L33" s="257">
        <f t="shared" si="10"/>
        <v>0</v>
      </c>
      <c r="M33" s="257">
        <f t="shared" si="10"/>
        <v>0</v>
      </c>
      <c r="N33" s="257">
        <f t="shared" si="10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103">
        <f>IF(P32&lt;0,0,IF(P32&lt;50000000,P32*5%,IF(P32&lt;250000000,(P32-50000000)*15%+2500000,IF(P32&lt;500000000,(P32-250000000)*25%+32500000,IF(P32&gt;500000000,(P32-500000000)*30%+95000000)))))</f>
        <v>0</v>
      </c>
      <c r="Q33" s="103">
        <f>IF(Q32&lt;0,0,IF(Q32&lt;50000000,Q32*5%,IF(Q32&lt;250000000,(Q32-50000000)*15%+2500000,IF(Q32&lt;500000000,(Q32-250000000)*25%+32500000,IF(Q32&gt;500000000,(Q32-500000000)*30%+95000000)))))</f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1">D33-D34</f>
        <v>0</v>
      </c>
      <c r="E35" s="255">
        <f t="shared" si="11"/>
        <v>0</v>
      </c>
      <c r="F35" s="255">
        <f t="shared" si="11"/>
        <v>0</v>
      </c>
      <c r="G35" s="255">
        <f t="shared" si="11"/>
        <v>0</v>
      </c>
      <c r="H35" s="255">
        <f t="shared" si="11"/>
        <v>0</v>
      </c>
      <c r="I35" s="255">
        <f t="shared" si="11"/>
        <v>0</v>
      </c>
      <c r="J35" s="255">
        <f t="shared" si="11"/>
        <v>0</v>
      </c>
      <c r="K35" s="255">
        <f t="shared" si="11"/>
        <v>0</v>
      </c>
      <c r="L35" s="255">
        <f t="shared" si="11"/>
        <v>0</v>
      </c>
      <c r="M35" s="255">
        <f t="shared" si="11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2">C21-C25-C36</f>
        <v>0</v>
      </c>
      <c r="D41" s="50">
        <f t="shared" si="12"/>
        <v>0</v>
      </c>
      <c r="E41" s="50">
        <f t="shared" si="12"/>
        <v>0</v>
      </c>
      <c r="F41" s="50">
        <f t="shared" si="12"/>
        <v>0</v>
      </c>
      <c r="G41" s="50">
        <f t="shared" si="12"/>
        <v>0</v>
      </c>
      <c r="H41" s="50">
        <f t="shared" si="12"/>
        <v>0</v>
      </c>
      <c r="I41" s="50">
        <f t="shared" si="12"/>
        <v>0</v>
      </c>
      <c r="J41" s="50">
        <f t="shared" si="12"/>
        <v>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4500000</v>
      </c>
      <c r="O41" s="50">
        <f>O21-O25-O36-O38</f>
        <v>4500000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8F70417-7EFC-4E58-AA2A-898FA9C8FF09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4"/>
  <dimension ref="A1:V59"/>
  <sheetViews>
    <sheetView topLeftCell="C8" zoomScale="60" workbookViewId="0">
      <selection activeCell="L16" sqref="L16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90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3000000</v>
      </c>
      <c r="D13" s="92">
        <v>3000000</v>
      </c>
      <c r="E13" s="167">
        <v>3000000</v>
      </c>
      <c r="F13" s="92">
        <v>3000000</v>
      </c>
      <c r="G13" s="92">
        <v>3000000</v>
      </c>
      <c r="H13" s="92">
        <v>3050000</v>
      </c>
      <c r="I13" s="92">
        <v>3050000</v>
      </c>
      <c r="J13" s="92">
        <v>3000000</v>
      </c>
      <c r="K13" s="92">
        <v>3100000</v>
      </c>
      <c r="L13" s="92">
        <v>3100000</v>
      </c>
      <c r="M13" s="92">
        <v>3050000</v>
      </c>
      <c r="N13" s="92">
        <v>3100000</v>
      </c>
      <c r="O13" s="32">
        <f>SUM(C13:N13)</f>
        <v>36450000</v>
      </c>
      <c r="P13" s="123">
        <f t="shared" ref="P13:P18" si="1">Q13</f>
        <v>36000000</v>
      </c>
      <c r="Q13" s="123">
        <f>F13*12</f>
        <v>36000000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>
        <v>100000</v>
      </c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3000000</v>
      </c>
      <c r="D19" s="37">
        <f>SUM(D13:D18)</f>
        <v>3000000</v>
      </c>
      <c r="E19" s="37">
        <f t="shared" ref="E19:N19" si="3">SUM(E13:E18)</f>
        <v>3000000</v>
      </c>
      <c r="F19" s="37">
        <f t="shared" si="3"/>
        <v>3000000</v>
      </c>
      <c r="G19" s="37">
        <f t="shared" si="3"/>
        <v>3000000</v>
      </c>
      <c r="H19" s="37">
        <f t="shared" si="3"/>
        <v>3050000</v>
      </c>
      <c r="I19" s="37">
        <f t="shared" si="3"/>
        <v>3050000</v>
      </c>
      <c r="J19" s="37">
        <f t="shared" si="3"/>
        <v>3100000</v>
      </c>
      <c r="K19" s="37">
        <f t="shared" si="3"/>
        <v>3100000</v>
      </c>
      <c r="L19" s="37">
        <f t="shared" si="3"/>
        <v>3100000</v>
      </c>
      <c r="M19" s="37">
        <f t="shared" si="3"/>
        <v>3050000</v>
      </c>
      <c r="N19" s="37">
        <f t="shared" si="3"/>
        <v>3100000</v>
      </c>
      <c r="O19" s="38">
        <f>SUM(O13:O18)</f>
        <v>36450000</v>
      </c>
      <c r="P19" s="103">
        <f>SUM(P13:P18)</f>
        <v>36000000</v>
      </c>
      <c r="Q19" s="103">
        <f>SUM(Q13:Q18)</f>
        <v>36000000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3000000</v>
      </c>
      <c r="P20" s="110">
        <v>3000000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3000000</v>
      </c>
      <c r="D21" s="259">
        <f t="shared" ref="D21:N21" si="4">D19+D20</f>
        <v>3000000</v>
      </c>
      <c r="E21" s="259">
        <f t="shared" si="4"/>
        <v>3000000</v>
      </c>
      <c r="F21" s="259">
        <f t="shared" si="4"/>
        <v>3000000</v>
      </c>
      <c r="G21" s="259">
        <f>G19+G20</f>
        <v>3000000</v>
      </c>
      <c r="H21" s="259">
        <f t="shared" si="4"/>
        <v>3050000</v>
      </c>
      <c r="I21" s="259">
        <f t="shared" si="4"/>
        <v>3050000</v>
      </c>
      <c r="J21" s="259">
        <f t="shared" si="4"/>
        <v>3100000</v>
      </c>
      <c r="K21" s="259">
        <f t="shared" si="4"/>
        <v>3100000</v>
      </c>
      <c r="L21" s="259">
        <f t="shared" si="4"/>
        <v>3100000</v>
      </c>
      <c r="M21" s="259">
        <f t="shared" si="4"/>
        <v>3050000</v>
      </c>
      <c r="N21" s="259">
        <f t="shared" si="4"/>
        <v>3100000</v>
      </c>
      <c r="O21" s="259">
        <f>O19+O20</f>
        <v>39450000</v>
      </c>
      <c r="P21" s="103">
        <f>P19+P20</f>
        <v>39000000</v>
      </c>
      <c r="Q21" s="103">
        <f>Q19+Q20</f>
        <v>36000000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150000</v>
      </c>
      <c r="D23" s="257">
        <f t="shared" ref="D23:O23" si="5">IF(D21*5%&lt;500000,D21*5%,500000)</f>
        <v>150000</v>
      </c>
      <c r="E23" s="257">
        <f t="shared" si="5"/>
        <v>150000</v>
      </c>
      <c r="F23" s="257">
        <f t="shared" si="5"/>
        <v>150000</v>
      </c>
      <c r="G23" s="257">
        <f>IF(G21*5%&lt;500000,G21*5%,500000)</f>
        <v>150000</v>
      </c>
      <c r="H23" s="257">
        <f t="shared" si="5"/>
        <v>152500</v>
      </c>
      <c r="I23" s="257">
        <f t="shared" si="5"/>
        <v>152500</v>
      </c>
      <c r="J23" s="257">
        <f t="shared" si="5"/>
        <v>155000</v>
      </c>
      <c r="K23" s="257">
        <f t="shared" si="5"/>
        <v>155000</v>
      </c>
      <c r="L23" s="257">
        <f t="shared" si="5"/>
        <v>155000</v>
      </c>
      <c r="M23" s="257">
        <f t="shared" si="5"/>
        <v>152500</v>
      </c>
      <c r="N23" s="257">
        <f t="shared" si="5"/>
        <v>155000</v>
      </c>
      <c r="O23" s="257">
        <f>IF(O21*5%&lt;6000000,O21*5%,6000000)</f>
        <v>1972500</v>
      </c>
      <c r="P23" s="110">
        <f>IF(P21*5%&lt;6000000,P21*5%,6000000)</f>
        <v>1950000</v>
      </c>
      <c r="Q23" s="110">
        <f>IF(Q21*5%&lt;6000000,Q21*5%,6000000)</f>
        <v>1800000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150000</v>
      </c>
      <c r="D26" s="257">
        <f t="shared" si="6"/>
        <v>150000</v>
      </c>
      <c r="E26" s="257">
        <f t="shared" si="6"/>
        <v>150000</v>
      </c>
      <c r="F26" s="257">
        <f t="shared" si="6"/>
        <v>150000</v>
      </c>
      <c r="G26" s="257">
        <f>SUM(G23:G25)</f>
        <v>150000</v>
      </c>
      <c r="H26" s="257">
        <f t="shared" si="6"/>
        <v>152500</v>
      </c>
      <c r="I26" s="257">
        <f t="shared" si="6"/>
        <v>152500</v>
      </c>
      <c r="J26" s="257">
        <f t="shared" si="6"/>
        <v>155000</v>
      </c>
      <c r="K26" s="257">
        <f t="shared" si="6"/>
        <v>155000</v>
      </c>
      <c r="L26" s="257">
        <f t="shared" si="6"/>
        <v>155000</v>
      </c>
      <c r="M26" s="257">
        <f t="shared" si="6"/>
        <v>152500</v>
      </c>
      <c r="N26" s="257">
        <f t="shared" si="6"/>
        <v>155000</v>
      </c>
      <c r="O26" s="263">
        <f>SUM(O22:O25)</f>
        <v>1972500</v>
      </c>
      <c r="P26" s="103">
        <f>SUM(P23:P25)</f>
        <v>1950000</v>
      </c>
      <c r="Q26" s="103">
        <f>SUM(Q23:Q25)</f>
        <v>1800000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2850000</v>
      </c>
      <c r="D28" s="255">
        <f t="shared" ref="D28:O28" si="7">D21-D26</f>
        <v>2850000</v>
      </c>
      <c r="E28" s="255">
        <f t="shared" si="7"/>
        <v>2850000</v>
      </c>
      <c r="F28" s="255">
        <f t="shared" si="7"/>
        <v>2850000</v>
      </c>
      <c r="G28" s="255">
        <f>G21-G26</f>
        <v>2850000</v>
      </c>
      <c r="H28" s="255">
        <f t="shared" si="7"/>
        <v>2897500</v>
      </c>
      <c r="I28" s="255">
        <f t="shared" si="7"/>
        <v>2897500</v>
      </c>
      <c r="J28" s="255">
        <f t="shared" si="7"/>
        <v>2945000</v>
      </c>
      <c r="K28" s="255">
        <f t="shared" si="7"/>
        <v>2945000</v>
      </c>
      <c r="L28" s="255">
        <f t="shared" si="7"/>
        <v>2945000</v>
      </c>
      <c r="M28" s="255">
        <f t="shared" si="7"/>
        <v>2897500</v>
      </c>
      <c r="N28" s="255">
        <f t="shared" si="7"/>
        <v>2945000</v>
      </c>
      <c r="O28" s="255">
        <f t="shared" si="7"/>
        <v>37477500</v>
      </c>
      <c r="P28" s="103">
        <f>P21-P26</f>
        <v>37050000</v>
      </c>
      <c r="Q28" s="103">
        <f>Q21-Q26</f>
        <v>34200000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34200000</v>
      </c>
      <c r="D30" s="253">
        <f>SUM(C28:D28)*D10/D11</f>
        <v>34200000</v>
      </c>
      <c r="E30" s="253">
        <f>SUM(C28:E28)*E10/E11</f>
        <v>34200000</v>
      </c>
      <c r="F30" s="253">
        <f>SUM(C28:F28)*F10/F11</f>
        <v>34200000</v>
      </c>
      <c r="G30" s="253">
        <f>SUM(C28:G28)*G10/G11</f>
        <v>34200000</v>
      </c>
      <c r="H30" s="253">
        <f>SUM(C28:H28)*H10/H11</f>
        <v>34295000</v>
      </c>
      <c r="I30" s="253">
        <f>SUM(C28:I28)*I10/I11</f>
        <v>34362857.142857142</v>
      </c>
      <c r="J30" s="253">
        <f>SUM(C28:J28)*J10/J11</f>
        <v>34485000</v>
      </c>
      <c r="K30" s="253">
        <f>SUM(C28:K28)*K10/K11</f>
        <v>34580000</v>
      </c>
      <c r="L30" s="253">
        <f>SUM(C28:L28)*L10/L11</f>
        <v>34656000</v>
      </c>
      <c r="M30" s="253">
        <f>SUM(C28:M28)*M10/M11</f>
        <v>34666363.636363633</v>
      </c>
      <c r="N30" s="253">
        <f>SUM(C28:N28)*N10/N11</f>
        <v>34722500</v>
      </c>
      <c r="O30" s="254">
        <f>O28</f>
        <v>37477500</v>
      </c>
      <c r="P30" s="108">
        <f>P28</f>
        <v>37050000</v>
      </c>
      <c r="Q30" s="108">
        <f>Q28</f>
        <v>34200000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54000000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P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3000000</v>
      </c>
      <c r="D41" s="50">
        <f t="shared" si="14"/>
        <v>3000000</v>
      </c>
      <c r="E41" s="50">
        <f t="shared" si="14"/>
        <v>3000000</v>
      </c>
      <c r="F41" s="50">
        <f t="shared" si="14"/>
        <v>3000000</v>
      </c>
      <c r="G41" s="50">
        <f t="shared" si="14"/>
        <v>3000000</v>
      </c>
      <c r="H41" s="50">
        <f t="shared" si="14"/>
        <v>3050000</v>
      </c>
      <c r="I41" s="50">
        <f t="shared" si="14"/>
        <v>3050000</v>
      </c>
      <c r="J41" s="50">
        <f t="shared" si="14"/>
        <v>3100000</v>
      </c>
      <c r="K41" s="50">
        <f>K21-K25-K36</f>
        <v>3100000</v>
      </c>
      <c r="L41" s="50">
        <f>L21-L25-L36</f>
        <v>3100000</v>
      </c>
      <c r="M41" s="50">
        <f>M21-M25-M36</f>
        <v>3050000</v>
      </c>
      <c r="N41" s="50">
        <f>N21-N25-N36</f>
        <v>3100000</v>
      </c>
      <c r="O41" s="50">
        <f>O21-O25-O36-O38</f>
        <v>39450000</v>
      </c>
      <c r="P41" s="126">
        <f>P21-P25-P36</f>
        <v>39000000</v>
      </c>
      <c r="Q41" s="126">
        <f>Q21-Q25-Q36</f>
        <v>36000000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0A00-000000000000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7"/>
  <dimension ref="A1:V51"/>
  <sheetViews>
    <sheetView topLeftCell="A8" workbookViewId="0">
      <pane xSplit="2" ySplit="1" topLeftCell="C21" activePane="bottomRight" state="frozen"/>
      <selection activeCell="D32" sqref="D32"/>
      <selection pane="topRight" activeCell="D32" sqref="D32"/>
      <selection pane="bottomLeft" activeCell="D32" sqref="D32"/>
      <selection pane="bottomRight" activeCell="D19" sqref="D19"/>
    </sheetView>
  </sheetViews>
  <sheetFormatPr defaultColWidth="9.140625" defaultRowHeight="15" x14ac:dyDescent="0.25"/>
  <cols>
    <col min="1" max="1" width="8.5703125" style="3" bestFit="1" customWidth="1"/>
    <col min="2" max="2" width="77.2851562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124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>
        <f>SUM(C9:N9)</f>
        <v>0</v>
      </c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>
        <f>SUM(C11:N11)</f>
        <v>0</v>
      </c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0</v>
      </c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>
        <f>SUM(O9:O14)</f>
        <v>0</v>
      </c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 t="shared" si="2"/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 t="shared" ref="D19:N19" si="3">IF(D17*5%&lt;500000,D17*5%,500000)</f>
        <v>0</v>
      </c>
      <c r="E19" s="37">
        <f t="shared" si="3"/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>C17-C22</f>
        <v>0</v>
      </c>
      <c r="D24" s="53">
        <f t="shared" ref="D24:N24" si="5">D17-D22</f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54000000</v>
      </c>
      <c r="D27" s="53">
        <f>C27</f>
        <v>54000000</v>
      </c>
      <c r="E27" s="53">
        <f t="shared" ref="E27:M27" si="6">D27</f>
        <v>54000000</v>
      </c>
      <c r="F27" s="53">
        <f t="shared" si="6"/>
        <v>54000000</v>
      </c>
      <c r="G27" s="53">
        <f t="shared" si="6"/>
        <v>54000000</v>
      </c>
      <c r="H27" s="53">
        <f>G27</f>
        <v>54000000</v>
      </c>
      <c r="I27" s="53">
        <f t="shared" si="6"/>
        <v>54000000</v>
      </c>
      <c r="J27" s="53">
        <f t="shared" si="6"/>
        <v>54000000</v>
      </c>
      <c r="K27" s="53">
        <f t="shared" si="6"/>
        <v>54000000</v>
      </c>
      <c r="L27" s="53">
        <f t="shared" si="6"/>
        <v>54000000</v>
      </c>
      <c r="M27" s="53">
        <f t="shared" si="6"/>
        <v>54000000</v>
      </c>
      <c r="N27" s="53">
        <f>M27</f>
        <v>54000000</v>
      </c>
      <c r="O27" s="53">
        <f>N27</f>
        <v>54000000</v>
      </c>
      <c r="P27" s="103">
        <f>O27</f>
        <v>54000000</v>
      </c>
      <c r="Q27" s="103">
        <f>P27</f>
        <v>54000000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(G31/12*5*120%-SUM(C32:F32))+P33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9:Q14 D10:N14 C9:N9" xr:uid="{00000000-0002-0000-0B00-000000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4"/>
  <dimension ref="A1:V59"/>
  <sheetViews>
    <sheetView topLeftCell="A8" zoomScale="59" workbookViewId="0">
      <selection activeCell="P31" sqref="P31"/>
    </sheetView>
  </sheetViews>
  <sheetFormatPr defaultColWidth="9.140625" defaultRowHeight="15" x14ac:dyDescent="0.25"/>
  <cols>
    <col min="1" max="1" width="8.5703125" style="3" bestFit="1" customWidth="1"/>
    <col min="2" max="2" width="67.4257812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440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5000000</v>
      </c>
      <c r="D13" s="92">
        <v>5000000</v>
      </c>
      <c r="E13" s="162">
        <v>5000000</v>
      </c>
      <c r="F13" s="92">
        <v>5000000</v>
      </c>
      <c r="G13" s="92">
        <v>5000000</v>
      </c>
      <c r="H13" s="92">
        <v>5000000</v>
      </c>
      <c r="I13" s="92">
        <v>5000000</v>
      </c>
      <c r="J13" s="92">
        <v>5000000</v>
      </c>
      <c r="K13" s="92">
        <v>5000000</v>
      </c>
      <c r="L13" s="92">
        <v>5000000</v>
      </c>
      <c r="M13" s="92">
        <v>5000000</v>
      </c>
      <c r="N13" s="92">
        <v>4500000</v>
      </c>
      <c r="O13" s="32">
        <f>SUM(C13:N13)</f>
        <v>59500000</v>
      </c>
      <c r="P13" s="123">
        <f t="shared" ref="P13:P18" si="1">Q13</f>
        <v>60000000</v>
      </c>
      <c r="Q13" s="123">
        <f>F13*12</f>
        <v>60000000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5000000</v>
      </c>
      <c r="D19" s="37">
        <f t="shared" si="3"/>
        <v>5000000</v>
      </c>
      <c r="E19" s="37">
        <f t="shared" si="3"/>
        <v>5000000</v>
      </c>
      <c r="F19" s="37">
        <f t="shared" si="3"/>
        <v>5000000</v>
      </c>
      <c r="G19" s="37">
        <f t="shared" si="3"/>
        <v>5000000</v>
      </c>
      <c r="H19" s="37">
        <f t="shared" si="3"/>
        <v>5000000</v>
      </c>
      <c r="I19" s="37">
        <f t="shared" si="3"/>
        <v>5000000</v>
      </c>
      <c r="J19" s="37">
        <f t="shared" si="3"/>
        <v>5000000</v>
      </c>
      <c r="K19" s="37">
        <f t="shared" si="3"/>
        <v>5000000</v>
      </c>
      <c r="L19" s="37">
        <f t="shared" si="3"/>
        <v>5000000</v>
      </c>
      <c r="M19" s="37">
        <f t="shared" si="3"/>
        <v>5000000</v>
      </c>
      <c r="N19" s="37">
        <f t="shared" si="3"/>
        <v>4500000</v>
      </c>
      <c r="O19" s="38">
        <f>SUM(O13:O18)</f>
        <v>59500000</v>
      </c>
      <c r="P19" s="103">
        <f>SUM(P13:P18)</f>
        <v>60000000</v>
      </c>
      <c r="Q19" s="103">
        <f>SUM(Q13:Q18)</f>
        <v>60000000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5000000</v>
      </c>
      <c r="P20" s="110">
        <v>5000000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5000000</v>
      </c>
      <c r="D21" s="259">
        <f t="shared" ref="D21:N21" si="4">D19+D20</f>
        <v>5000000</v>
      </c>
      <c r="E21" s="259">
        <f t="shared" si="4"/>
        <v>5000000</v>
      </c>
      <c r="F21" s="259">
        <f t="shared" si="4"/>
        <v>5000000</v>
      </c>
      <c r="G21" s="259">
        <f>G19+G20</f>
        <v>5000000</v>
      </c>
      <c r="H21" s="259">
        <f t="shared" si="4"/>
        <v>5000000</v>
      </c>
      <c r="I21" s="259">
        <f t="shared" si="4"/>
        <v>5000000</v>
      </c>
      <c r="J21" s="259">
        <f t="shared" si="4"/>
        <v>5000000</v>
      </c>
      <c r="K21" s="259">
        <f t="shared" si="4"/>
        <v>5000000</v>
      </c>
      <c r="L21" s="259">
        <f t="shared" si="4"/>
        <v>5000000</v>
      </c>
      <c r="M21" s="259">
        <f t="shared" si="4"/>
        <v>5000000</v>
      </c>
      <c r="N21" s="259">
        <f t="shared" si="4"/>
        <v>4500000</v>
      </c>
      <c r="O21" s="259">
        <f>O19+O20</f>
        <v>64500000</v>
      </c>
      <c r="P21" s="103">
        <f>P19+P20</f>
        <v>65000000</v>
      </c>
      <c r="Q21" s="103">
        <f>Q19+Q20</f>
        <v>60000000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250000</v>
      </c>
      <c r="D23" s="257">
        <f t="shared" ref="D23:O23" si="5">IF(D21*5%&lt;500000,D21*5%,500000)</f>
        <v>250000</v>
      </c>
      <c r="E23" s="257">
        <f t="shared" si="5"/>
        <v>250000</v>
      </c>
      <c r="F23" s="257">
        <f t="shared" si="5"/>
        <v>250000</v>
      </c>
      <c r="G23" s="257">
        <f>IF(G21*5%&lt;500000,G21*5%,500000)</f>
        <v>250000</v>
      </c>
      <c r="H23" s="257">
        <f t="shared" si="5"/>
        <v>250000</v>
      </c>
      <c r="I23" s="257">
        <f t="shared" si="5"/>
        <v>250000</v>
      </c>
      <c r="J23" s="257">
        <f t="shared" si="5"/>
        <v>250000</v>
      </c>
      <c r="K23" s="257">
        <f t="shared" si="5"/>
        <v>250000</v>
      </c>
      <c r="L23" s="257">
        <f t="shared" si="5"/>
        <v>250000</v>
      </c>
      <c r="M23" s="257">
        <f t="shared" si="5"/>
        <v>250000</v>
      </c>
      <c r="N23" s="257">
        <f t="shared" si="5"/>
        <v>225000</v>
      </c>
      <c r="O23" s="257">
        <f>IF(O21*5%&lt;6000000,O21*5%,6000000)</f>
        <v>3225000</v>
      </c>
      <c r="P23" s="110">
        <f>IF(P21*5%&lt;6000000,P21*5%,6000000)</f>
        <v>3250000</v>
      </c>
      <c r="Q23" s="110">
        <f>IF(Q21*5%&lt;6000000,Q21*5%,6000000)</f>
        <v>3000000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250000</v>
      </c>
      <c r="D26" s="257">
        <f t="shared" si="6"/>
        <v>250000</v>
      </c>
      <c r="E26" s="257">
        <f t="shared" si="6"/>
        <v>250000</v>
      </c>
      <c r="F26" s="257">
        <f t="shared" si="6"/>
        <v>250000</v>
      </c>
      <c r="G26" s="257">
        <f>SUM(G23:G25)</f>
        <v>250000</v>
      </c>
      <c r="H26" s="257">
        <f t="shared" si="6"/>
        <v>250000</v>
      </c>
      <c r="I26" s="257">
        <f t="shared" si="6"/>
        <v>250000</v>
      </c>
      <c r="J26" s="257">
        <f t="shared" si="6"/>
        <v>250000</v>
      </c>
      <c r="K26" s="257">
        <f t="shared" si="6"/>
        <v>250000</v>
      </c>
      <c r="L26" s="257">
        <f t="shared" si="6"/>
        <v>250000</v>
      </c>
      <c r="M26" s="257">
        <f t="shared" si="6"/>
        <v>250000</v>
      </c>
      <c r="N26" s="257">
        <f t="shared" si="6"/>
        <v>225000</v>
      </c>
      <c r="O26" s="263">
        <f>SUM(O22:O25)</f>
        <v>3225000</v>
      </c>
      <c r="P26" s="103">
        <f>SUM(P23:P25)</f>
        <v>3250000</v>
      </c>
      <c r="Q26" s="103">
        <f>SUM(Q23:Q25)</f>
        <v>3000000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4750000</v>
      </c>
      <c r="D28" s="255">
        <f t="shared" ref="D28:O28" si="7">D21-D26</f>
        <v>4750000</v>
      </c>
      <c r="E28" s="255">
        <f t="shared" si="7"/>
        <v>4750000</v>
      </c>
      <c r="F28" s="255">
        <f t="shared" si="7"/>
        <v>4750000</v>
      </c>
      <c r="G28" s="255">
        <f>G21-G26</f>
        <v>4750000</v>
      </c>
      <c r="H28" s="255">
        <f t="shared" si="7"/>
        <v>4750000</v>
      </c>
      <c r="I28" s="255">
        <f t="shared" si="7"/>
        <v>4750000</v>
      </c>
      <c r="J28" s="255">
        <f t="shared" si="7"/>
        <v>4750000</v>
      </c>
      <c r="K28" s="255">
        <f t="shared" si="7"/>
        <v>4750000</v>
      </c>
      <c r="L28" s="255">
        <f t="shared" si="7"/>
        <v>4750000</v>
      </c>
      <c r="M28" s="255">
        <f t="shared" si="7"/>
        <v>4750000</v>
      </c>
      <c r="N28" s="255">
        <f t="shared" si="7"/>
        <v>4275000</v>
      </c>
      <c r="O28" s="255">
        <f t="shared" si="7"/>
        <v>61275000</v>
      </c>
      <c r="P28" s="103">
        <f>P21-P26</f>
        <v>61750000</v>
      </c>
      <c r="Q28" s="103">
        <f>Q21-Q26</f>
        <v>57000000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57000000</v>
      </c>
      <c r="D30" s="253">
        <f>SUM(C28:D28)*D10/D11</f>
        <v>57000000</v>
      </c>
      <c r="E30" s="253">
        <f>SUM(C28:E28)*E10/E11</f>
        <v>57000000</v>
      </c>
      <c r="F30" s="253">
        <f>SUM(C28:F28)*F10/F11</f>
        <v>57000000</v>
      </c>
      <c r="G30" s="253">
        <f>SUM(C28:G28)*G10/G11</f>
        <v>57000000</v>
      </c>
      <c r="H30" s="253">
        <f>SUM(C28:H28)*H10/H11</f>
        <v>57000000</v>
      </c>
      <c r="I30" s="253">
        <f>SUM(C28:I28)*I10/I11</f>
        <v>57000000</v>
      </c>
      <c r="J30" s="253">
        <f>SUM(C28:J28)*J10/J11</f>
        <v>57000000</v>
      </c>
      <c r="K30" s="253">
        <f>SUM(C28:K28)*K10/K11</f>
        <v>57000000</v>
      </c>
      <c r="L30" s="253">
        <f>SUM(C28:L28)*L10/L11</f>
        <v>57000000</v>
      </c>
      <c r="M30" s="253">
        <f>SUM(C28:M28)*M10/M11</f>
        <v>57000000</v>
      </c>
      <c r="N30" s="253">
        <f>SUM(C28:N28)*N10/N11</f>
        <v>56525000</v>
      </c>
      <c r="O30" s="254">
        <f>O28</f>
        <v>61275000</v>
      </c>
      <c r="P30" s="108">
        <f>P28</f>
        <v>61750000</v>
      </c>
      <c r="Q30" s="108">
        <f>Q28</f>
        <v>57000000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P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5000000</v>
      </c>
      <c r="D41" s="50">
        <f t="shared" si="14"/>
        <v>5000000</v>
      </c>
      <c r="E41" s="50">
        <f t="shared" si="14"/>
        <v>5000000</v>
      </c>
      <c r="F41" s="50">
        <f t="shared" si="14"/>
        <v>5000000</v>
      </c>
      <c r="G41" s="50">
        <f t="shared" si="14"/>
        <v>5000000</v>
      </c>
      <c r="H41" s="50">
        <f t="shared" si="14"/>
        <v>5000000</v>
      </c>
      <c r="I41" s="50">
        <f t="shared" si="14"/>
        <v>5000000</v>
      </c>
      <c r="J41" s="50">
        <f t="shared" si="14"/>
        <v>5000000</v>
      </c>
      <c r="K41" s="50">
        <f>K21-K25-K36</f>
        <v>5000000</v>
      </c>
      <c r="L41" s="50">
        <f>L21-L25-L36</f>
        <v>5000000</v>
      </c>
      <c r="M41" s="50">
        <f>M21-M25-M36</f>
        <v>5000000</v>
      </c>
      <c r="N41" s="50">
        <f>N21-N25-N36</f>
        <v>4500000</v>
      </c>
      <c r="O41" s="50">
        <f>O21-O25-O36-O38</f>
        <v>64500000</v>
      </c>
      <c r="P41" s="126">
        <f>P21-P25-P36</f>
        <v>65000000</v>
      </c>
      <c r="Q41" s="126">
        <f>Q21-Q25-Q36</f>
        <v>60000000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0C00-000000000000}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8"/>
  <dimension ref="A1:V59"/>
  <sheetViews>
    <sheetView zoomScale="55" workbookViewId="0">
      <selection activeCell="P12" sqref="P12:Q12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135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92">
        <v>4000000</v>
      </c>
      <c r="D13" s="92">
        <v>4000000</v>
      </c>
      <c r="E13" s="162">
        <v>4000000</v>
      </c>
      <c r="F13" s="92">
        <v>4000000</v>
      </c>
      <c r="G13" s="92">
        <v>4000000</v>
      </c>
      <c r="H13" s="92">
        <v>4000000</v>
      </c>
      <c r="I13" s="92">
        <v>4000000</v>
      </c>
      <c r="J13" s="92">
        <v>4000000</v>
      </c>
      <c r="K13" s="92">
        <v>4000000</v>
      </c>
      <c r="L13" s="92">
        <v>4000000</v>
      </c>
      <c r="M13" s="92">
        <v>4000000</v>
      </c>
      <c r="N13" s="92">
        <v>4000000</v>
      </c>
      <c r="O13" s="32">
        <f>SUM(C13:N13)</f>
        <v>48000000</v>
      </c>
      <c r="P13" s="123">
        <f t="shared" ref="P13:P18" si="1">Q13</f>
        <v>48000000</v>
      </c>
      <c r="Q13" s="123">
        <f>F13*12</f>
        <v>48000000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>
        <v>707000</v>
      </c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4000000</v>
      </c>
      <c r="D19" s="37">
        <f t="shared" si="3"/>
        <v>4000000</v>
      </c>
      <c r="E19" s="37">
        <f t="shared" si="3"/>
        <v>4000000</v>
      </c>
      <c r="F19" s="37">
        <f t="shared" si="3"/>
        <v>4000000</v>
      </c>
      <c r="G19" s="37">
        <f t="shared" si="3"/>
        <v>4000000</v>
      </c>
      <c r="H19" s="37">
        <f t="shared" si="3"/>
        <v>4000000</v>
      </c>
      <c r="I19" s="37">
        <f t="shared" si="3"/>
        <v>4000000</v>
      </c>
      <c r="J19" s="37">
        <f t="shared" si="3"/>
        <v>4000000</v>
      </c>
      <c r="K19" s="37">
        <f t="shared" si="3"/>
        <v>4000000</v>
      </c>
      <c r="L19" s="37">
        <f t="shared" si="3"/>
        <v>4707000</v>
      </c>
      <c r="M19" s="37">
        <f t="shared" si="3"/>
        <v>4000000</v>
      </c>
      <c r="N19" s="37">
        <f t="shared" si="3"/>
        <v>4000000</v>
      </c>
      <c r="O19" s="38">
        <f>SUM(O13:O18)</f>
        <v>48000000</v>
      </c>
      <c r="P19" s="103">
        <f>SUM(P13:P18)</f>
        <v>48000000</v>
      </c>
      <c r="Q19" s="103">
        <f>SUM(Q13:Q18)</f>
        <v>48000000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>
        <v>2000000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4000000</v>
      </c>
      <c r="D21" s="259">
        <f t="shared" ref="D21:N21" si="4">D19+D20</f>
        <v>4000000</v>
      </c>
      <c r="E21" s="259">
        <f t="shared" si="4"/>
        <v>4000000</v>
      </c>
      <c r="F21" s="259">
        <f t="shared" si="4"/>
        <v>4000000</v>
      </c>
      <c r="G21" s="259">
        <f>G19+G20</f>
        <v>4000000</v>
      </c>
      <c r="H21" s="259">
        <f t="shared" si="4"/>
        <v>4000000</v>
      </c>
      <c r="I21" s="259">
        <f t="shared" si="4"/>
        <v>4000000</v>
      </c>
      <c r="J21" s="259">
        <f t="shared" si="4"/>
        <v>4000000</v>
      </c>
      <c r="K21" s="259">
        <f t="shared" si="4"/>
        <v>4000000</v>
      </c>
      <c r="L21" s="259">
        <f t="shared" si="4"/>
        <v>4707000</v>
      </c>
      <c r="M21" s="259">
        <f t="shared" si="4"/>
        <v>4000000</v>
      </c>
      <c r="N21" s="259">
        <f t="shared" si="4"/>
        <v>4000000</v>
      </c>
      <c r="O21" s="259">
        <f>O19+O20</f>
        <v>48000000</v>
      </c>
      <c r="P21" s="103">
        <f>P19+P20</f>
        <v>50000000</v>
      </c>
      <c r="Q21" s="103">
        <f>Q19+Q20</f>
        <v>48000000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200000</v>
      </c>
      <c r="D23" s="257">
        <f t="shared" ref="D23:N23" si="5">IF(D21*5%&lt;500000,D21*5%,500000)</f>
        <v>200000</v>
      </c>
      <c r="E23" s="257">
        <f t="shared" si="5"/>
        <v>200000</v>
      </c>
      <c r="F23" s="257">
        <f t="shared" si="5"/>
        <v>200000</v>
      </c>
      <c r="G23" s="257">
        <f>IF(G21*5%&lt;500000,G21*5%,500000)</f>
        <v>200000</v>
      </c>
      <c r="H23" s="257">
        <f t="shared" si="5"/>
        <v>200000</v>
      </c>
      <c r="I23" s="257">
        <f t="shared" si="5"/>
        <v>200000</v>
      </c>
      <c r="J23" s="257">
        <f t="shared" si="5"/>
        <v>200000</v>
      </c>
      <c r="K23" s="257">
        <f t="shared" si="5"/>
        <v>200000</v>
      </c>
      <c r="L23" s="257">
        <f t="shared" si="5"/>
        <v>235350</v>
      </c>
      <c r="M23" s="257">
        <f t="shared" si="5"/>
        <v>200000</v>
      </c>
      <c r="N23" s="257">
        <f t="shared" si="5"/>
        <v>200000</v>
      </c>
      <c r="O23" s="258">
        <f>SUM(C23:N23)</f>
        <v>2435350</v>
      </c>
      <c r="P23" s="110">
        <f>IF(P21*5%&lt;6000000,P21*5%,6000000)</f>
        <v>2500000</v>
      </c>
      <c r="Q23" s="110">
        <f>IF(Q21*5%&lt;6000000,Q21*5%,6000000)</f>
        <v>2400000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200000</v>
      </c>
      <c r="D26" s="257">
        <f t="shared" si="6"/>
        <v>200000</v>
      </c>
      <c r="E26" s="257">
        <f t="shared" si="6"/>
        <v>200000</v>
      </c>
      <c r="F26" s="257">
        <f t="shared" si="6"/>
        <v>200000</v>
      </c>
      <c r="G26" s="257">
        <f>SUM(G23:G25)</f>
        <v>200000</v>
      </c>
      <c r="H26" s="257">
        <f t="shared" si="6"/>
        <v>200000</v>
      </c>
      <c r="I26" s="257">
        <f t="shared" si="6"/>
        <v>200000</v>
      </c>
      <c r="J26" s="257">
        <f t="shared" si="6"/>
        <v>200000</v>
      </c>
      <c r="K26" s="257">
        <f t="shared" si="6"/>
        <v>200000</v>
      </c>
      <c r="L26" s="257">
        <f t="shared" si="6"/>
        <v>235350</v>
      </c>
      <c r="M26" s="257">
        <f t="shared" si="6"/>
        <v>200000</v>
      </c>
      <c r="N26" s="257">
        <f t="shared" si="6"/>
        <v>200000</v>
      </c>
      <c r="O26" s="263">
        <f>SUM(O22:O25)</f>
        <v>2435350</v>
      </c>
      <c r="P26" s="103">
        <f>SUM(P23:P25)</f>
        <v>2500000</v>
      </c>
      <c r="Q26" s="103">
        <f>SUM(Q23:Q25)</f>
        <v>2400000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3800000</v>
      </c>
      <c r="D28" s="255">
        <f t="shared" ref="D28:O28" si="7">D21-D26</f>
        <v>3800000</v>
      </c>
      <c r="E28" s="255">
        <f t="shared" si="7"/>
        <v>3800000</v>
      </c>
      <c r="F28" s="255">
        <f t="shared" si="7"/>
        <v>3800000</v>
      </c>
      <c r="G28" s="255">
        <f>G21-G26</f>
        <v>3800000</v>
      </c>
      <c r="H28" s="255">
        <f t="shared" si="7"/>
        <v>3800000</v>
      </c>
      <c r="I28" s="255">
        <f t="shared" si="7"/>
        <v>3800000</v>
      </c>
      <c r="J28" s="255">
        <f t="shared" si="7"/>
        <v>3800000</v>
      </c>
      <c r="K28" s="255">
        <f t="shared" si="7"/>
        <v>3800000</v>
      </c>
      <c r="L28" s="255">
        <f t="shared" si="7"/>
        <v>4471650</v>
      </c>
      <c r="M28" s="255">
        <f t="shared" si="7"/>
        <v>3800000</v>
      </c>
      <c r="N28" s="255">
        <f t="shared" si="7"/>
        <v>3800000</v>
      </c>
      <c r="O28" s="255">
        <f t="shared" si="7"/>
        <v>45564650</v>
      </c>
      <c r="P28" s="103">
        <f>P21-P26</f>
        <v>47500000</v>
      </c>
      <c r="Q28" s="103">
        <f>Q21-Q26</f>
        <v>45600000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45600000</v>
      </c>
      <c r="D30" s="253">
        <f>SUM(C28:D28)*D10/D11</f>
        <v>45600000</v>
      </c>
      <c r="E30" s="253">
        <f>SUM(C28:E28)*E10/E11</f>
        <v>45600000</v>
      </c>
      <c r="F30" s="253">
        <f>SUM(C28:F28)*F10/F11</f>
        <v>45600000</v>
      </c>
      <c r="G30" s="253">
        <f>SUM(C28:G28)*G10/G11</f>
        <v>45600000</v>
      </c>
      <c r="H30" s="253">
        <f>SUM(C28:H28)*H10/H11</f>
        <v>45600000</v>
      </c>
      <c r="I30" s="253">
        <f>SUM(C28:I28)*I10/I11</f>
        <v>45600000</v>
      </c>
      <c r="J30" s="253">
        <f>SUM(C28:J28)*J10/J11</f>
        <v>45600000</v>
      </c>
      <c r="K30" s="253">
        <f>SUM(C28:K28)*K10/K11</f>
        <v>45600000</v>
      </c>
      <c r="L30" s="253">
        <f>SUM(C28:L28)*L10/L11</f>
        <v>46405980</v>
      </c>
      <c r="M30" s="253">
        <f>SUM(C28:M28)*M10/M11</f>
        <v>46332709.090909094</v>
      </c>
      <c r="N30" s="253">
        <f>SUM(C28:N28)*N10/N11</f>
        <v>46271650</v>
      </c>
      <c r="O30" s="254">
        <f>O28</f>
        <v>45564650</v>
      </c>
      <c r="P30" s="108">
        <f>P28</f>
        <v>47500000</v>
      </c>
      <c r="Q30" s="108">
        <f>Q28</f>
        <v>45600000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54000000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P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4000000</v>
      </c>
      <c r="D41" s="50">
        <f t="shared" si="14"/>
        <v>4000000</v>
      </c>
      <c r="E41" s="50">
        <f t="shared" si="14"/>
        <v>4000000</v>
      </c>
      <c r="F41" s="50">
        <f t="shared" si="14"/>
        <v>4000000</v>
      </c>
      <c r="G41" s="50">
        <f t="shared" si="14"/>
        <v>4000000</v>
      </c>
      <c r="H41" s="50">
        <f t="shared" si="14"/>
        <v>4000000</v>
      </c>
      <c r="I41" s="50">
        <f t="shared" si="14"/>
        <v>4000000</v>
      </c>
      <c r="J41" s="50">
        <f t="shared" si="14"/>
        <v>4000000</v>
      </c>
      <c r="K41" s="50">
        <f>K21-K25-K36</f>
        <v>4000000</v>
      </c>
      <c r="L41" s="50">
        <f>L21-L25-L36</f>
        <v>4707000</v>
      </c>
      <c r="M41" s="50">
        <f>M21-M25-M36</f>
        <v>4000000</v>
      </c>
      <c r="N41" s="50">
        <f>N21-N25-N36</f>
        <v>4000000</v>
      </c>
      <c r="O41" s="50">
        <f>O21-O25-O36-O38</f>
        <v>48000000</v>
      </c>
      <c r="P41" s="126">
        <f>P21-P25-P36</f>
        <v>50000000</v>
      </c>
      <c r="Q41" s="126">
        <f>Q21-Q25-Q36</f>
        <v>48000000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0D00-000000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V59"/>
  <sheetViews>
    <sheetView topLeftCell="C8" zoomScale="80" workbookViewId="0">
      <selection activeCell="O23" sqref="O2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144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92">
        <v>4000000</v>
      </c>
      <c r="D13" s="92">
        <v>4000000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8000000</v>
      </c>
      <c r="P13" s="123">
        <f t="shared" ref="P13:P18" si="1">Q13</f>
        <v>0</v>
      </c>
      <c r="Q13" s="123">
        <f t="shared" ref="Q13:Q18" si="2">G13*12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si="2"/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>
        <v>3300000</v>
      </c>
      <c r="D16" s="92">
        <v>1950000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7300000</v>
      </c>
      <c r="D19" s="37">
        <f>SUM(D13:D18)</f>
        <v>5950000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8">
        <f>SUM(O13:O18)</f>
        <v>8000000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7300000</v>
      </c>
      <c r="D21" s="259">
        <f t="shared" ref="D21:N21" si="3">D19+D20</f>
        <v>5950000</v>
      </c>
      <c r="E21" s="259">
        <f t="shared" si="3"/>
        <v>0</v>
      </c>
      <c r="F21" s="259">
        <f t="shared" si="3"/>
        <v>0</v>
      </c>
      <c r="G21" s="259">
        <f>G19+G20</f>
        <v>0</v>
      </c>
      <c r="H21" s="259">
        <f t="shared" si="3"/>
        <v>0</v>
      </c>
      <c r="I21" s="259">
        <f t="shared" si="3"/>
        <v>0</v>
      </c>
      <c r="J21" s="259">
        <f t="shared" si="3"/>
        <v>0</v>
      </c>
      <c r="K21" s="259">
        <f t="shared" si="3"/>
        <v>0</v>
      </c>
      <c r="L21" s="259">
        <f t="shared" si="3"/>
        <v>0</v>
      </c>
      <c r="M21" s="259">
        <f t="shared" si="3"/>
        <v>0</v>
      </c>
      <c r="N21" s="259">
        <f t="shared" si="3"/>
        <v>0</v>
      </c>
      <c r="O21" s="259">
        <f>O19+O20</f>
        <v>8000000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365000</v>
      </c>
      <c r="D23" s="257">
        <f t="shared" ref="D23:O23" si="4">IF(D21*5%&lt;500000,D21*5%,500000)</f>
        <v>297500</v>
      </c>
      <c r="E23" s="257">
        <f t="shared" si="4"/>
        <v>0</v>
      </c>
      <c r="F23" s="257">
        <f t="shared" si="4"/>
        <v>0</v>
      </c>
      <c r="G23" s="257">
        <f>IF(G21*5%&lt;500000,G21*5%,500000)</f>
        <v>0</v>
      </c>
      <c r="H23" s="257">
        <f t="shared" si="4"/>
        <v>0</v>
      </c>
      <c r="I23" s="257">
        <f t="shared" si="4"/>
        <v>0</v>
      </c>
      <c r="J23" s="257">
        <f t="shared" si="4"/>
        <v>0</v>
      </c>
      <c r="K23" s="257">
        <f t="shared" si="4"/>
        <v>0</v>
      </c>
      <c r="L23" s="257">
        <f t="shared" si="4"/>
        <v>0</v>
      </c>
      <c r="M23" s="257">
        <f t="shared" si="4"/>
        <v>0</v>
      </c>
      <c r="N23" s="257">
        <f t="shared" si="4"/>
        <v>0</v>
      </c>
      <c r="O23" s="257">
        <f>IF(O21*5%&lt;6000000,O21*5%,6000000)</f>
        <v>400000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5">SUM(C23:C25)</f>
        <v>365000</v>
      </c>
      <c r="D26" s="257">
        <f t="shared" si="5"/>
        <v>297500</v>
      </c>
      <c r="E26" s="257">
        <f t="shared" si="5"/>
        <v>0</v>
      </c>
      <c r="F26" s="257">
        <f t="shared" si="5"/>
        <v>0</v>
      </c>
      <c r="G26" s="257">
        <f>SUM(G23:G25)</f>
        <v>0</v>
      </c>
      <c r="H26" s="257">
        <f t="shared" si="5"/>
        <v>0</v>
      </c>
      <c r="I26" s="257">
        <f t="shared" si="5"/>
        <v>0</v>
      </c>
      <c r="J26" s="257">
        <f t="shared" si="5"/>
        <v>0</v>
      </c>
      <c r="K26" s="257">
        <f t="shared" si="5"/>
        <v>0</v>
      </c>
      <c r="L26" s="257">
        <f t="shared" si="5"/>
        <v>0</v>
      </c>
      <c r="M26" s="257">
        <f t="shared" si="5"/>
        <v>0</v>
      </c>
      <c r="N26" s="257">
        <f t="shared" si="5"/>
        <v>0</v>
      </c>
      <c r="O26" s="263">
        <f>SUM(O22:O25)</f>
        <v>400000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6935000</v>
      </c>
      <c r="D28" s="255">
        <f t="shared" ref="D28:O28" si="6">D21-D26</f>
        <v>5652500</v>
      </c>
      <c r="E28" s="255">
        <f t="shared" si="6"/>
        <v>0</v>
      </c>
      <c r="F28" s="255">
        <f t="shared" si="6"/>
        <v>0</v>
      </c>
      <c r="G28" s="255">
        <f>G21-G26</f>
        <v>0</v>
      </c>
      <c r="H28" s="255">
        <f t="shared" si="6"/>
        <v>0</v>
      </c>
      <c r="I28" s="255">
        <f t="shared" si="6"/>
        <v>0</v>
      </c>
      <c r="J28" s="255">
        <f t="shared" si="6"/>
        <v>0</v>
      </c>
      <c r="K28" s="255">
        <f t="shared" si="6"/>
        <v>0</v>
      </c>
      <c r="L28" s="255">
        <f t="shared" si="6"/>
        <v>0</v>
      </c>
      <c r="M28" s="255">
        <f t="shared" si="6"/>
        <v>0</v>
      </c>
      <c r="N28" s="255">
        <f t="shared" si="6"/>
        <v>0</v>
      </c>
      <c r="O28" s="255">
        <f t="shared" si="6"/>
        <v>7600000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83220000</v>
      </c>
      <c r="D30" s="253">
        <f>SUM(C28:D28)*D10/D11</f>
        <v>75525000</v>
      </c>
      <c r="E30" s="253">
        <f>SUM(C28:E28)*E10/E11</f>
        <v>50350000</v>
      </c>
      <c r="F30" s="253">
        <f>SUM(C28:F28)*F10/F11</f>
        <v>37762500</v>
      </c>
      <c r="G30" s="253">
        <f>SUM(C28:G28)*G10/G11</f>
        <v>30210000</v>
      </c>
      <c r="H30" s="253">
        <f>SUM(C28:H28)*H10/H11</f>
        <v>25175000</v>
      </c>
      <c r="I30" s="253">
        <f>SUM(C28:I28)*I10/I11</f>
        <v>21578571.428571429</v>
      </c>
      <c r="J30" s="253">
        <f>SUM(C28:J28)*J10/J11</f>
        <v>18881250</v>
      </c>
      <c r="K30" s="253">
        <f>SUM(C28:K28)*K10/K11</f>
        <v>16783333.333333332</v>
      </c>
      <c r="L30" s="253">
        <f>SUM(C28:L28)*L10/L11</f>
        <v>15105000</v>
      </c>
      <c r="M30" s="253">
        <f>SUM(C28:M28)*M10/M11</f>
        <v>13731818.181818182</v>
      </c>
      <c r="N30" s="253">
        <f>SUM(C28:N28)*N10/N11</f>
        <v>12587500</v>
      </c>
      <c r="O30" s="254">
        <f>O28</f>
        <v>7600000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7">IF(C30&gt;0,VLOOKUP(C9,$B$47:$C$59,2,FALSE),0)</f>
        <v>72000000</v>
      </c>
      <c r="D31" s="255">
        <f t="shared" si="7"/>
        <v>72000000</v>
      </c>
      <c r="E31" s="255">
        <f t="shared" si="7"/>
        <v>72000000</v>
      </c>
      <c r="F31" s="255">
        <f t="shared" si="7"/>
        <v>72000000</v>
      </c>
      <c r="G31" s="255">
        <f>IF(G30&gt;0,VLOOKUP(G9,$B$47:$C$59,2,FALSE),0)</f>
        <v>72000000</v>
      </c>
      <c r="H31" s="255">
        <f t="shared" si="7"/>
        <v>72000000</v>
      </c>
      <c r="I31" s="255">
        <f t="shared" si="7"/>
        <v>72000000</v>
      </c>
      <c r="J31" s="255">
        <f t="shared" si="7"/>
        <v>72000000</v>
      </c>
      <c r="K31" s="255">
        <f t="shared" si="7"/>
        <v>72000000</v>
      </c>
      <c r="L31" s="255">
        <f t="shared" si="7"/>
        <v>72000000</v>
      </c>
      <c r="M31" s="255">
        <f t="shared" si="7"/>
        <v>72000000</v>
      </c>
      <c r="N31" s="255">
        <f t="shared" si="7"/>
        <v>72000000</v>
      </c>
      <c r="O31" s="255">
        <f t="shared" si="7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11220000</v>
      </c>
      <c r="D32" s="256">
        <f t="shared" ref="D32:O32" si="8">ROUNDDOWN(IF(D30&lt;=D31,0,IF(D30&gt;D31,D30-D31)),-3)</f>
        <v>3525000</v>
      </c>
      <c r="E32" s="256">
        <f t="shared" si="8"/>
        <v>0</v>
      </c>
      <c r="F32" s="256">
        <f t="shared" si="8"/>
        <v>0</v>
      </c>
      <c r="G32" s="256">
        <f t="shared" si="8"/>
        <v>0</v>
      </c>
      <c r="H32" s="256">
        <f t="shared" si="8"/>
        <v>0</v>
      </c>
      <c r="I32" s="256">
        <f>ROUNDDOWN(IF(I30&lt;=I31,0,IF(I30&gt;I31,I30-I31)),-3)</f>
        <v>0</v>
      </c>
      <c r="J32" s="256">
        <f t="shared" si="8"/>
        <v>0</v>
      </c>
      <c r="K32" s="256">
        <f t="shared" si="8"/>
        <v>0</v>
      </c>
      <c r="L32" s="256">
        <f t="shared" si="8"/>
        <v>0</v>
      </c>
      <c r="M32" s="256">
        <f t="shared" si="8"/>
        <v>0</v>
      </c>
      <c r="N32" s="256">
        <f t="shared" si="8"/>
        <v>0</v>
      </c>
      <c r="O32" s="256">
        <f t="shared" si="8"/>
        <v>0</v>
      </c>
      <c r="P32" s="103">
        <f t="shared" ref="P32:Q32" si="9">ROUNDDOWN(IF(P30&lt;=P31,0,IF(P30&gt;P31,P30-P31)),-3)</f>
        <v>0</v>
      </c>
      <c r="Q32" s="103">
        <f t="shared" si="9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0">IF(C32&lt;0,0,IF(C32&lt;60000000,C32*5%,IF(C32&lt;250000000,(C32-60000000)*15%+3000000,IF(C32&lt;500000000,(C32-250000000)*25%+31500000,IF(C32&lt;5000000000,(C32-500000000)*30%+94000000,IF(C32&gt;5000000000,(C32-500000000)*35%+1444000000))))))</f>
        <v>561000</v>
      </c>
      <c r="D33" s="257">
        <f t="shared" si="10"/>
        <v>176250</v>
      </c>
      <c r="E33" s="257">
        <f t="shared" si="10"/>
        <v>0</v>
      </c>
      <c r="F33" s="257">
        <f t="shared" si="10"/>
        <v>0</v>
      </c>
      <c r="G33" s="257">
        <f t="shared" si="10"/>
        <v>0</v>
      </c>
      <c r="H33" s="257">
        <f t="shared" si="10"/>
        <v>0</v>
      </c>
      <c r="I33" s="257">
        <f t="shared" si="10"/>
        <v>0</v>
      </c>
      <c r="J33" s="257">
        <f t="shared" si="10"/>
        <v>0</v>
      </c>
      <c r="K33" s="257">
        <f t="shared" si="10"/>
        <v>0</v>
      </c>
      <c r="L33" s="257">
        <f t="shared" si="10"/>
        <v>0</v>
      </c>
      <c r="M33" s="257">
        <f t="shared" si="10"/>
        <v>0</v>
      </c>
      <c r="N33" s="257">
        <f t="shared" si="10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1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1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561000</v>
      </c>
      <c r="D35" s="255">
        <f t="shared" ref="D35:M35" si="12">D33-D34</f>
        <v>176250</v>
      </c>
      <c r="E35" s="255">
        <f t="shared" si="12"/>
        <v>0</v>
      </c>
      <c r="F35" s="255">
        <f t="shared" si="12"/>
        <v>0</v>
      </c>
      <c r="G35" s="255">
        <f t="shared" si="12"/>
        <v>0</v>
      </c>
      <c r="H35" s="255">
        <f t="shared" si="12"/>
        <v>0</v>
      </c>
      <c r="I35" s="255">
        <f t="shared" si="12"/>
        <v>0</v>
      </c>
      <c r="J35" s="255">
        <f t="shared" si="12"/>
        <v>0</v>
      </c>
      <c r="K35" s="255">
        <f t="shared" si="12"/>
        <v>0</v>
      </c>
      <c r="L35" s="255">
        <f t="shared" si="12"/>
        <v>0</v>
      </c>
      <c r="M35" s="255">
        <f t="shared" si="12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56100</v>
      </c>
      <c r="D36" s="264">
        <f>(D35/D10*D11*120%)-SUM(C36)</f>
        <v>-20850</v>
      </c>
      <c r="E36" s="264">
        <f>(E35/E10*E11*120%)-SUM(C36:D36)</f>
        <v>-35250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3">C21-C25-C36</f>
        <v>7243900</v>
      </c>
      <c r="D41" s="50">
        <f t="shared" si="13"/>
        <v>5970850</v>
      </c>
      <c r="E41" s="50">
        <f t="shared" si="13"/>
        <v>35250</v>
      </c>
      <c r="F41" s="50">
        <f t="shared" si="13"/>
        <v>0</v>
      </c>
      <c r="G41" s="50">
        <f t="shared" si="13"/>
        <v>0</v>
      </c>
      <c r="H41" s="50">
        <f t="shared" si="13"/>
        <v>0</v>
      </c>
      <c r="I41" s="50">
        <f t="shared" si="13"/>
        <v>0</v>
      </c>
      <c r="J41" s="50">
        <f t="shared" si="13"/>
        <v>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0</v>
      </c>
      <c r="O41" s="50">
        <f>O21-O25-O36-O38</f>
        <v>8000000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0E00-000000000000}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7"/>
  <dimension ref="A1:CX16225"/>
  <sheetViews>
    <sheetView zoomScale="59" workbookViewId="0">
      <selection activeCell="L14" sqref="L14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456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642</v>
      </c>
    </row>
    <row r="13" spans="1:17" ht="20.100000000000001" customHeight="1" x14ac:dyDescent="0.25">
      <c r="A13" s="30">
        <v>1</v>
      </c>
      <c r="B13" s="31" t="s">
        <v>9</v>
      </c>
      <c r="C13" s="92">
        <v>2000000</v>
      </c>
      <c r="D13" s="137">
        <v>2000000</v>
      </c>
      <c r="E13" s="167">
        <v>2000000</v>
      </c>
      <c r="F13" s="92">
        <v>2000000</v>
      </c>
      <c r="G13" s="92">
        <v>2000000</v>
      </c>
      <c r="H13" s="92">
        <v>2000000</v>
      </c>
      <c r="I13" s="92"/>
      <c r="J13" s="92"/>
      <c r="K13" s="92"/>
      <c r="L13" s="92">
        <v>2250000</v>
      </c>
      <c r="M13" s="92"/>
      <c r="N13" s="92"/>
      <c r="O13" s="32">
        <f>SUM(C13:N13)</f>
        <v>14250000</v>
      </c>
      <c r="P13" s="123">
        <f t="shared" ref="P13:P18" si="1">Q13</f>
        <v>24000000</v>
      </c>
      <c r="Q13" s="123">
        <f>F13*12</f>
        <v>24000000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>
        <v>1200000</v>
      </c>
      <c r="D16" s="92"/>
      <c r="E16" s="92">
        <v>7795000</v>
      </c>
      <c r="F16" s="92"/>
      <c r="G16" s="92">
        <v>5125000</v>
      </c>
      <c r="H16" s="92"/>
      <c r="I16" s="92"/>
      <c r="J16" s="92">
        <v>2850000</v>
      </c>
      <c r="K16" s="92">
        <v>2405000</v>
      </c>
      <c r="L16" s="92">
        <v>1500000</v>
      </c>
      <c r="M16" s="92"/>
      <c r="N16" s="92"/>
      <c r="O16" s="32">
        <f>SUM(C16:N16)</f>
        <v>20875000</v>
      </c>
      <c r="P16" s="123">
        <f t="shared" si="1"/>
        <v>0</v>
      </c>
      <c r="Q16" s="123">
        <f>F16*12</f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3200000</v>
      </c>
      <c r="D19" s="37">
        <f t="shared" si="3"/>
        <v>2000000</v>
      </c>
      <c r="E19" s="37">
        <f t="shared" si="3"/>
        <v>9795000</v>
      </c>
      <c r="F19" s="37">
        <f t="shared" si="3"/>
        <v>2000000</v>
      </c>
      <c r="G19" s="37">
        <f t="shared" si="3"/>
        <v>7125000</v>
      </c>
      <c r="H19" s="37">
        <f t="shared" si="3"/>
        <v>2000000</v>
      </c>
      <c r="I19" s="37">
        <f t="shared" si="3"/>
        <v>0</v>
      </c>
      <c r="J19" s="37">
        <f t="shared" si="3"/>
        <v>2850000</v>
      </c>
      <c r="K19" s="37">
        <f t="shared" si="3"/>
        <v>2405000</v>
      </c>
      <c r="L19" s="37">
        <f t="shared" si="3"/>
        <v>3750000</v>
      </c>
      <c r="M19" s="37">
        <f t="shared" si="3"/>
        <v>0</v>
      </c>
      <c r="N19" s="37">
        <f t="shared" si="3"/>
        <v>0</v>
      </c>
      <c r="O19" s="38">
        <f>SUM(O13:O18)</f>
        <v>35125000</v>
      </c>
      <c r="P19" s="103">
        <f>SUM(P13:P18)</f>
        <v>24000000</v>
      </c>
      <c r="Q19" s="103">
        <f>SUM(Q13:Q18)</f>
        <v>24000000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2000000</v>
      </c>
      <c r="P20" s="110">
        <v>2000000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3200000</v>
      </c>
      <c r="D21" s="259">
        <f t="shared" ref="D21:N21" si="4">D19+D20</f>
        <v>2000000</v>
      </c>
      <c r="E21" s="259">
        <f t="shared" si="4"/>
        <v>9795000</v>
      </c>
      <c r="F21" s="259">
        <f t="shared" si="4"/>
        <v>2000000</v>
      </c>
      <c r="G21" s="259">
        <f>G19+G20</f>
        <v>7125000</v>
      </c>
      <c r="H21" s="259">
        <f t="shared" si="4"/>
        <v>2000000</v>
      </c>
      <c r="I21" s="259">
        <f t="shared" si="4"/>
        <v>0</v>
      </c>
      <c r="J21" s="259">
        <f t="shared" si="4"/>
        <v>2850000</v>
      </c>
      <c r="K21" s="259">
        <f t="shared" si="4"/>
        <v>2405000</v>
      </c>
      <c r="L21" s="259">
        <f t="shared" si="4"/>
        <v>3750000</v>
      </c>
      <c r="M21" s="259">
        <f t="shared" si="4"/>
        <v>0</v>
      </c>
      <c r="N21" s="259">
        <f t="shared" si="4"/>
        <v>0</v>
      </c>
      <c r="O21" s="259">
        <f>O19+O20</f>
        <v>37125000</v>
      </c>
      <c r="P21" s="103">
        <f>P19+P20</f>
        <v>26000000</v>
      </c>
      <c r="Q21" s="103">
        <f>Q19+Q20</f>
        <v>24000000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160000</v>
      </c>
      <c r="D23" s="257">
        <f t="shared" ref="D23:O23" si="5">IF(D21*5%&lt;500000,D21*5%,500000)</f>
        <v>100000</v>
      </c>
      <c r="E23" s="257">
        <f t="shared" si="5"/>
        <v>489750</v>
      </c>
      <c r="F23" s="257">
        <f t="shared" si="5"/>
        <v>100000</v>
      </c>
      <c r="G23" s="257">
        <f>IF(G21*5%&lt;500000,G21*5%,500000)</f>
        <v>356250</v>
      </c>
      <c r="H23" s="257">
        <f t="shared" si="5"/>
        <v>100000</v>
      </c>
      <c r="I23" s="257">
        <f t="shared" si="5"/>
        <v>0</v>
      </c>
      <c r="J23" s="257">
        <f t="shared" si="5"/>
        <v>142500</v>
      </c>
      <c r="K23" s="257">
        <f t="shared" si="5"/>
        <v>120250</v>
      </c>
      <c r="L23" s="257">
        <f t="shared" si="5"/>
        <v>187500</v>
      </c>
      <c r="M23" s="257">
        <f t="shared" si="5"/>
        <v>0</v>
      </c>
      <c r="N23" s="257">
        <f t="shared" si="5"/>
        <v>0</v>
      </c>
      <c r="O23" s="257">
        <f>IF(O21*5%&lt;6000000,O21*5%,6000000)</f>
        <v>1856250</v>
      </c>
      <c r="P23" s="110">
        <f>IF(P21*5%&lt;6000000,P21*5%,6000000)</f>
        <v>1300000</v>
      </c>
      <c r="Q23" s="110">
        <f>IF(Q21*5%&lt;6000000,Q21*5%,6000000)</f>
        <v>1200000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160000</v>
      </c>
      <c r="D26" s="257">
        <f t="shared" si="6"/>
        <v>100000</v>
      </c>
      <c r="E26" s="257">
        <f t="shared" si="6"/>
        <v>489750</v>
      </c>
      <c r="F26" s="257">
        <f t="shared" si="6"/>
        <v>100000</v>
      </c>
      <c r="G26" s="257">
        <f>SUM(G23:G25)</f>
        <v>356250</v>
      </c>
      <c r="H26" s="257">
        <f t="shared" si="6"/>
        <v>100000</v>
      </c>
      <c r="I26" s="257">
        <f t="shared" si="6"/>
        <v>0</v>
      </c>
      <c r="J26" s="257">
        <f t="shared" si="6"/>
        <v>142500</v>
      </c>
      <c r="K26" s="257">
        <f t="shared" si="6"/>
        <v>120250</v>
      </c>
      <c r="L26" s="257">
        <f t="shared" si="6"/>
        <v>187500</v>
      </c>
      <c r="M26" s="257">
        <f t="shared" si="6"/>
        <v>0</v>
      </c>
      <c r="N26" s="257">
        <f t="shared" si="6"/>
        <v>0</v>
      </c>
      <c r="O26" s="263">
        <f>SUM(O22:O25)</f>
        <v>1856250</v>
      </c>
      <c r="P26" s="103">
        <f>SUM(P23:P25)</f>
        <v>1300000</v>
      </c>
      <c r="Q26" s="103">
        <f>SUM(Q23:Q25)</f>
        <v>1200000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3040000</v>
      </c>
      <c r="D28" s="255">
        <f t="shared" ref="D28:O28" si="7">D21-D26</f>
        <v>1900000</v>
      </c>
      <c r="E28" s="255">
        <f t="shared" si="7"/>
        <v>9305250</v>
      </c>
      <c r="F28" s="255">
        <f t="shared" si="7"/>
        <v>1900000</v>
      </c>
      <c r="G28" s="255">
        <f>G21-G26</f>
        <v>6768750</v>
      </c>
      <c r="H28" s="255">
        <f t="shared" si="7"/>
        <v>1900000</v>
      </c>
      <c r="I28" s="255">
        <f t="shared" si="7"/>
        <v>0</v>
      </c>
      <c r="J28" s="255">
        <f t="shared" si="7"/>
        <v>2707500</v>
      </c>
      <c r="K28" s="255">
        <f t="shared" si="7"/>
        <v>2284750</v>
      </c>
      <c r="L28" s="255">
        <f t="shared" si="7"/>
        <v>3562500</v>
      </c>
      <c r="M28" s="255">
        <f t="shared" si="7"/>
        <v>0</v>
      </c>
      <c r="N28" s="255">
        <f t="shared" si="7"/>
        <v>0</v>
      </c>
      <c r="O28" s="255">
        <f>O21-O26</f>
        <v>35268750</v>
      </c>
      <c r="P28" s="103">
        <f>P21-P26</f>
        <v>24700000</v>
      </c>
      <c r="Q28" s="103">
        <f>Q21-Q26</f>
        <v>22800000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36480000</v>
      </c>
      <c r="D30" s="253">
        <f>SUM(C28:D28)*D10/D11</f>
        <v>29640000</v>
      </c>
      <c r="E30" s="253">
        <f>SUM(C28:E28)*E10/E11</f>
        <v>56981000</v>
      </c>
      <c r="F30" s="253">
        <f>SUM(C28:F28)*F10/F11</f>
        <v>48435750</v>
      </c>
      <c r="G30" s="253">
        <f>SUM(C28:G28)*G10/G11</f>
        <v>54993600</v>
      </c>
      <c r="H30" s="253">
        <f>SUM(C28:H28)*H10/H11</f>
        <v>49628000</v>
      </c>
      <c r="I30" s="253">
        <f>SUM(C28:I28)*I10/I11</f>
        <v>42538285.714285716</v>
      </c>
      <c r="J30" s="253">
        <f>SUM(C28:J28)*J10/J11</f>
        <v>41282250</v>
      </c>
      <c r="K30" s="253">
        <f>SUM(C28:K28)*K10/K11</f>
        <v>39741666.666666664</v>
      </c>
      <c r="L30" s="253">
        <f>SUM(C28:L28)*L10/L11</f>
        <v>40042500</v>
      </c>
      <c r="M30" s="253">
        <f>SUM(C28:M28)*M10/M11</f>
        <v>36402272.727272727</v>
      </c>
      <c r="N30" s="253">
        <f>SUM(C28:N28)*N10/N11</f>
        <v>33368750</v>
      </c>
      <c r="O30" s="254">
        <f>O28</f>
        <v>35268750</v>
      </c>
      <c r="P30" s="108">
        <f>P28</f>
        <v>24700000</v>
      </c>
      <c r="Q30" s="108">
        <f>Q28</f>
        <v>22800000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P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3200000</v>
      </c>
      <c r="D41" s="50">
        <f t="shared" si="14"/>
        <v>2000000</v>
      </c>
      <c r="E41" s="50">
        <f t="shared" si="14"/>
        <v>9795000</v>
      </c>
      <c r="F41" s="50">
        <f t="shared" si="14"/>
        <v>2000000</v>
      </c>
      <c r="G41" s="50">
        <f t="shared" si="14"/>
        <v>7125000</v>
      </c>
      <c r="H41" s="50">
        <f t="shared" si="14"/>
        <v>2000000</v>
      </c>
      <c r="I41" s="50">
        <f t="shared" si="14"/>
        <v>0</v>
      </c>
      <c r="J41" s="50">
        <f t="shared" si="14"/>
        <v>2850000</v>
      </c>
      <c r="K41" s="50">
        <f>K21-K25-K36</f>
        <v>2405000</v>
      </c>
      <c r="L41" s="50">
        <f>L21-L25-L36</f>
        <v>3750000</v>
      </c>
      <c r="M41" s="50">
        <f>M21-M25-M36</f>
        <v>0</v>
      </c>
      <c r="N41" s="50">
        <f>N21-N25-N36</f>
        <v>0</v>
      </c>
      <c r="O41" s="50">
        <f>O21-O25-O36-O38</f>
        <v>37125000</v>
      </c>
      <c r="P41" s="126">
        <f>P21-P25-P36</f>
        <v>26000000</v>
      </c>
      <c r="Q41" s="126">
        <f>Q21-Q25-Q36</f>
        <v>24000000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  <row r="16225" spans="102:102" x14ac:dyDescent="0.25">
      <c r="CX16225" s="3" t="s">
        <v>457</v>
      </c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0F00-000000000000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6">
    <tabColor rgb="FFC00000"/>
  </sheetPr>
  <dimension ref="A1:V59"/>
  <sheetViews>
    <sheetView topLeftCell="F22" zoomScale="65" zoomScaleNormal="100" workbookViewId="0">
      <selection activeCell="O36" sqref="O36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155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642</v>
      </c>
    </row>
    <row r="13" spans="1:17" ht="20.100000000000001" customHeight="1" x14ac:dyDescent="0.25">
      <c r="A13" s="30">
        <v>1</v>
      </c>
      <c r="B13" s="31" t="s">
        <v>9</v>
      </c>
      <c r="C13" s="150">
        <v>7000000</v>
      </c>
      <c r="D13" s="92">
        <v>7000000</v>
      </c>
      <c r="E13" s="162">
        <v>7000000</v>
      </c>
      <c r="F13" s="92">
        <v>7000000</v>
      </c>
      <c r="G13" s="92">
        <v>7000000</v>
      </c>
      <c r="H13" s="92">
        <v>7000000</v>
      </c>
      <c r="I13" s="92">
        <v>7000000</v>
      </c>
      <c r="J13" s="92">
        <v>7000000</v>
      </c>
      <c r="K13" s="92">
        <v>7000000</v>
      </c>
      <c r="L13" s="92">
        <v>7000000</v>
      </c>
      <c r="M13" s="92">
        <v>7000000</v>
      </c>
      <c r="N13" s="92">
        <v>7000000</v>
      </c>
      <c r="O13" s="32">
        <f>SUM(C13:N13)</f>
        <v>84000000</v>
      </c>
      <c r="P13" s="123">
        <f t="shared" ref="P13:P18" si="1">Q13</f>
        <v>84000000</v>
      </c>
      <c r="Q13" s="123">
        <f>F13*12</f>
        <v>84000000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>
        <v>1250000</v>
      </c>
      <c r="E16" s="92">
        <v>3855000</v>
      </c>
      <c r="F16" s="92">
        <v>1250000</v>
      </c>
      <c r="G16" s="92">
        <v>625000</v>
      </c>
      <c r="H16" s="92"/>
      <c r="I16" s="92"/>
      <c r="J16" s="92">
        <v>2275000</v>
      </c>
      <c r="K16" s="92">
        <v>3490000</v>
      </c>
      <c r="L16" s="92">
        <v>625000</v>
      </c>
      <c r="M16" s="92"/>
      <c r="N16" s="92"/>
      <c r="O16" s="32">
        <f>SUM(C16:N16)</f>
        <v>13370000</v>
      </c>
      <c r="P16" s="123">
        <f t="shared" si="1"/>
        <v>15000000</v>
      </c>
      <c r="Q16" s="123">
        <f>F16*12</f>
        <v>15000000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7000000</v>
      </c>
      <c r="D19" s="37">
        <f t="shared" si="3"/>
        <v>8250000</v>
      </c>
      <c r="E19" s="37">
        <f t="shared" si="3"/>
        <v>10855000</v>
      </c>
      <c r="F19" s="37">
        <f t="shared" si="3"/>
        <v>8250000</v>
      </c>
      <c r="G19" s="37">
        <f t="shared" si="3"/>
        <v>7625000</v>
      </c>
      <c r="H19" s="37">
        <f t="shared" si="3"/>
        <v>7000000</v>
      </c>
      <c r="I19" s="37">
        <f t="shared" si="3"/>
        <v>7000000</v>
      </c>
      <c r="J19" s="37">
        <f t="shared" si="3"/>
        <v>9275000</v>
      </c>
      <c r="K19" s="37">
        <f t="shared" si="3"/>
        <v>10490000</v>
      </c>
      <c r="L19" s="37">
        <f t="shared" si="3"/>
        <v>7625000</v>
      </c>
      <c r="M19" s="37">
        <f t="shared" si="3"/>
        <v>7000000</v>
      </c>
      <c r="N19" s="37">
        <f t="shared" si="3"/>
        <v>7000000</v>
      </c>
      <c r="O19" s="38">
        <f>SUM(O13:O18)</f>
        <v>97370000</v>
      </c>
      <c r="P19" s="103">
        <f>SUM(P13:P18)</f>
        <v>99000000</v>
      </c>
      <c r="Q19" s="103">
        <f>SUM(Q13:Q18)</f>
        <v>99000000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5000000</v>
      </c>
      <c r="P20" s="110">
        <v>5000000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7000000</v>
      </c>
      <c r="D21" s="259">
        <f t="shared" ref="D21:N21" si="4">D19+D20</f>
        <v>8250000</v>
      </c>
      <c r="E21" s="259">
        <f t="shared" si="4"/>
        <v>10855000</v>
      </c>
      <c r="F21" s="259">
        <f t="shared" si="4"/>
        <v>8250000</v>
      </c>
      <c r="G21" s="259">
        <f>G19+G20</f>
        <v>7625000</v>
      </c>
      <c r="H21" s="259">
        <f t="shared" si="4"/>
        <v>7000000</v>
      </c>
      <c r="I21" s="259">
        <f t="shared" si="4"/>
        <v>7000000</v>
      </c>
      <c r="J21" s="259">
        <f t="shared" si="4"/>
        <v>9275000</v>
      </c>
      <c r="K21" s="259">
        <f t="shared" si="4"/>
        <v>10490000</v>
      </c>
      <c r="L21" s="259">
        <f t="shared" si="4"/>
        <v>7625000</v>
      </c>
      <c r="M21" s="259">
        <f t="shared" si="4"/>
        <v>7000000</v>
      </c>
      <c r="N21" s="259">
        <f t="shared" si="4"/>
        <v>7000000</v>
      </c>
      <c r="O21" s="259">
        <f>O19+O20</f>
        <v>102370000</v>
      </c>
      <c r="P21" s="103">
        <f>P19+P20</f>
        <v>104000000</v>
      </c>
      <c r="Q21" s="103">
        <f>Q19+Q20</f>
        <v>99000000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350000</v>
      </c>
      <c r="D23" s="257">
        <f t="shared" ref="D23:O23" si="5">IF(D21*5%&lt;500000,D21*5%,500000)</f>
        <v>412500</v>
      </c>
      <c r="E23" s="257">
        <f t="shared" si="5"/>
        <v>500000</v>
      </c>
      <c r="F23" s="257">
        <f t="shared" si="5"/>
        <v>412500</v>
      </c>
      <c r="G23" s="257">
        <f>IF(G21*5%&lt;500000,G21*5%,500000)</f>
        <v>381250</v>
      </c>
      <c r="H23" s="257">
        <f t="shared" si="5"/>
        <v>350000</v>
      </c>
      <c r="I23" s="257">
        <f t="shared" si="5"/>
        <v>350000</v>
      </c>
      <c r="J23" s="257">
        <f t="shared" si="5"/>
        <v>463750</v>
      </c>
      <c r="K23" s="257">
        <f t="shared" si="5"/>
        <v>500000</v>
      </c>
      <c r="L23" s="257">
        <f t="shared" si="5"/>
        <v>381250</v>
      </c>
      <c r="M23" s="257">
        <f t="shared" si="5"/>
        <v>350000</v>
      </c>
      <c r="N23" s="257">
        <f t="shared" si="5"/>
        <v>350000</v>
      </c>
      <c r="O23" s="257">
        <f>IF(O21*5%&lt;6000000,O21*5%,6000000)</f>
        <v>5118500</v>
      </c>
      <c r="P23" s="110">
        <f>IF(P21*5%&lt;6000000,P21*5%,6000000)</f>
        <v>5200000</v>
      </c>
      <c r="Q23" s="110">
        <f>IF(Q21*5%&lt;6000000,Q21*5%,6000000)</f>
        <v>4950000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350000</v>
      </c>
      <c r="D26" s="257">
        <f t="shared" si="6"/>
        <v>412500</v>
      </c>
      <c r="E26" s="257">
        <f t="shared" si="6"/>
        <v>500000</v>
      </c>
      <c r="F26" s="257">
        <f t="shared" si="6"/>
        <v>412500</v>
      </c>
      <c r="G26" s="257">
        <f>SUM(G23:G25)</f>
        <v>381250</v>
      </c>
      <c r="H26" s="257">
        <f t="shared" si="6"/>
        <v>350000</v>
      </c>
      <c r="I26" s="257">
        <f t="shared" si="6"/>
        <v>350000</v>
      </c>
      <c r="J26" s="257">
        <f t="shared" si="6"/>
        <v>463750</v>
      </c>
      <c r="K26" s="257">
        <f t="shared" si="6"/>
        <v>500000</v>
      </c>
      <c r="L26" s="257">
        <f t="shared" si="6"/>
        <v>381250</v>
      </c>
      <c r="M26" s="257">
        <f t="shared" si="6"/>
        <v>350000</v>
      </c>
      <c r="N26" s="257">
        <f t="shared" si="6"/>
        <v>350000</v>
      </c>
      <c r="O26" s="263">
        <f>SUM(O22:O25)</f>
        <v>5118500</v>
      </c>
      <c r="P26" s="103">
        <f>SUM(P23:P25)</f>
        <v>5200000</v>
      </c>
      <c r="Q26" s="103">
        <f>SUM(Q23:Q25)</f>
        <v>4950000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6650000</v>
      </c>
      <c r="D28" s="255">
        <f t="shared" ref="D28:O28" si="7">D21-D26</f>
        <v>7837500</v>
      </c>
      <c r="E28" s="255">
        <f t="shared" si="7"/>
        <v>10355000</v>
      </c>
      <c r="F28" s="255">
        <f t="shared" si="7"/>
        <v>7837500</v>
      </c>
      <c r="G28" s="255">
        <f>G21-G26</f>
        <v>7243750</v>
      </c>
      <c r="H28" s="255">
        <f t="shared" si="7"/>
        <v>6650000</v>
      </c>
      <c r="I28" s="255">
        <f t="shared" si="7"/>
        <v>6650000</v>
      </c>
      <c r="J28" s="255">
        <f t="shared" si="7"/>
        <v>8811250</v>
      </c>
      <c r="K28" s="255">
        <f t="shared" si="7"/>
        <v>9990000</v>
      </c>
      <c r="L28" s="255">
        <f t="shared" si="7"/>
        <v>7243750</v>
      </c>
      <c r="M28" s="255">
        <f t="shared" si="7"/>
        <v>6650000</v>
      </c>
      <c r="N28" s="255">
        <f t="shared" si="7"/>
        <v>6650000</v>
      </c>
      <c r="O28" s="255">
        <f t="shared" si="7"/>
        <v>97251500</v>
      </c>
      <c r="P28" s="103">
        <f>P21-P26</f>
        <v>98800000</v>
      </c>
      <c r="Q28" s="103">
        <f>Q21-Q26</f>
        <v>94050000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79800000</v>
      </c>
      <c r="D30" s="253">
        <f>SUM(C28:D28)*D10/D11</f>
        <v>86925000</v>
      </c>
      <c r="E30" s="253">
        <f>SUM(C28:E28)*E10/E11</f>
        <v>99370000</v>
      </c>
      <c r="F30" s="253">
        <f>SUM(C28:F28)*F10/F11</f>
        <v>98040000</v>
      </c>
      <c r="G30" s="253">
        <f>SUM(C28:G28)*G10/G11</f>
        <v>95817000</v>
      </c>
      <c r="H30" s="253">
        <f>SUM(C28:H28)*H10/H11</f>
        <v>93147500</v>
      </c>
      <c r="I30" s="253">
        <f>SUM(C28:I28)*I10/I11</f>
        <v>91240714.285714284</v>
      </c>
      <c r="J30" s="253">
        <f>SUM(C28:J28)*J10/J11</f>
        <v>93052500</v>
      </c>
      <c r="K30" s="253">
        <f>SUM(C28:K28)*K10/K11</f>
        <v>96033333.333333328</v>
      </c>
      <c r="L30" s="253">
        <f>SUM(C28:L28)*L10/L11</f>
        <v>95122500</v>
      </c>
      <c r="M30" s="253">
        <f>SUM(C28:M28)*M10/M11</f>
        <v>93729545.454545453</v>
      </c>
      <c r="N30" s="253">
        <f>SUM(C28:N28)*N10/N11</f>
        <v>92568750</v>
      </c>
      <c r="O30" s="254">
        <f>O28</f>
        <v>97251500</v>
      </c>
      <c r="P30" s="108">
        <f>P28</f>
        <v>98800000</v>
      </c>
      <c r="Q30" s="108">
        <f>Q28</f>
        <v>94050000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7800000</v>
      </c>
      <c r="D32" s="256">
        <f t="shared" ref="D32:O32" si="9">ROUNDDOWN(IF(D30&lt;=D31,0,IF(D30&gt;D31,D30-D31)),-3)</f>
        <v>14925000</v>
      </c>
      <c r="E32" s="256">
        <f t="shared" si="9"/>
        <v>27370000</v>
      </c>
      <c r="F32" s="256">
        <f t="shared" si="9"/>
        <v>26040000</v>
      </c>
      <c r="G32" s="256">
        <f t="shared" si="9"/>
        <v>23817000</v>
      </c>
      <c r="H32" s="256">
        <f t="shared" si="9"/>
        <v>21147000</v>
      </c>
      <c r="I32" s="256">
        <f>ROUNDDOWN(IF(I30&lt;=I31,0,IF(I30&gt;I31,I30-I31)),-3)</f>
        <v>19240000</v>
      </c>
      <c r="J32" s="256">
        <f t="shared" si="9"/>
        <v>21052000</v>
      </c>
      <c r="K32" s="256">
        <f t="shared" si="9"/>
        <v>24033000</v>
      </c>
      <c r="L32" s="256">
        <f t="shared" si="9"/>
        <v>23122000</v>
      </c>
      <c r="M32" s="256">
        <f t="shared" si="9"/>
        <v>21729000</v>
      </c>
      <c r="N32" s="256">
        <f t="shared" si="9"/>
        <v>20568000</v>
      </c>
      <c r="O32" s="256">
        <f t="shared" si="9"/>
        <v>25251000</v>
      </c>
      <c r="P32" s="103">
        <f t="shared" ref="P32:Q32" si="10">ROUNDDOWN(IF(P30&lt;=P31,0,IF(P30&gt;P31,P30-P31)),-3)</f>
        <v>26800000</v>
      </c>
      <c r="Q32" s="103">
        <f t="shared" si="10"/>
        <v>22050000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390000</v>
      </c>
      <c r="D33" s="257">
        <f t="shared" si="11"/>
        <v>746250</v>
      </c>
      <c r="E33" s="257">
        <f t="shared" si="11"/>
        <v>1368500</v>
      </c>
      <c r="F33" s="257">
        <f t="shared" si="11"/>
        <v>1302000</v>
      </c>
      <c r="G33" s="257">
        <f t="shared" si="11"/>
        <v>1190850</v>
      </c>
      <c r="H33" s="257">
        <f t="shared" si="11"/>
        <v>1057350</v>
      </c>
      <c r="I33" s="257">
        <f t="shared" si="11"/>
        <v>962000</v>
      </c>
      <c r="J33" s="257">
        <f t="shared" si="11"/>
        <v>1052600</v>
      </c>
      <c r="K33" s="257">
        <f t="shared" si="11"/>
        <v>1201650</v>
      </c>
      <c r="L33" s="257">
        <f t="shared" si="11"/>
        <v>1156100</v>
      </c>
      <c r="M33" s="257">
        <f t="shared" si="11"/>
        <v>1086450</v>
      </c>
      <c r="N33" s="257">
        <f t="shared" si="11"/>
        <v>1028400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1262550</v>
      </c>
      <c r="P33" s="255">
        <f>IF(P32&lt;0,0,IF(P32&lt;60000000,P32*5%,IF(P32&lt;250000000,(P32-60000000)*15%+3000000,IF(P32&lt;500000000,(P32-250000000)*25%+31500000,IF(P32&lt;5000000000,(P32-500000000)*30%+94000000,IF(P32&gt;5000000000,(P32-500000000)*35%+1444000000))))))</f>
        <v>1340000</v>
      </c>
      <c r="Q33" s="255">
        <f>IF(Q32&lt;0,0,IF(Q32&lt;60000000,Q32*5%,IF(Q32&lt;250000000,(Q32-60000000)*15%+3000000,IF(Q32&lt;500000000,(Q32-250000000)*25%+31500000,IF(Q32&lt;5000000000,(Q32-500000000)*30%+94000000,IF(Q32&gt;5000000000,(Q32-500000000)*35%+1444000000))))))</f>
        <v>1102500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390000</v>
      </c>
      <c r="D35" s="255">
        <f t="shared" ref="D35:M35" si="12">D33-D34</f>
        <v>746250</v>
      </c>
      <c r="E35" s="255">
        <f t="shared" si="12"/>
        <v>1368500</v>
      </c>
      <c r="F35" s="255">
        <f t="shared" si="12"/>
        <v>1302000</v>
      </c>
      <c r="G35" s="255">
        <f t="shared" si="12"/>
        <v>1190850</v>
      </c>
      <c r="H35" s="255">
        <f t="shared" si="12"/>
        <v>1057350</v>
      </c>
      <c r="I35" s="255">
        <f t="shared" si="12"/>
        <v>962000</v>
      </c>
      <c r="J35" s="255">
        <f t="shared" si="12"/>
        <v>1052600</v>
      </c>
      <c r="K35" s="255">
        <f t="shared" si="12"/>
        <v>1201650</v>
      </c>
      <c r="L35" s="255">
        <f t="shared" si="12"/>
        <v>1156100</v>
      </c>
      <c r="M35" s="255">
        <f t="shared" si="12"/>
        <v>1086450</v>
      </c>
      <c r="N35" s="255">
        <f>N33-N34</f>
        <v>1028400</v>
      </c>
      <c r="O35" s="255">
        <f>O33</f>
        <v>1262550</v>
      </c>
      <c r="P35" s="103">
        <f>P33+P34</f>
        <v>1340000</v>
      </c>
      <c r="Q35" s="103">
        <f>Q33+Q34</f>
        <v>1102500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</f>
        <v>32500</v>
      </c>
      <c r="D36" s="264">
        <f>(D35/D10*D11-SUM(C36))</f>
        <v>91875</v>
      </c>
      <c r="E36" s="264">
        <f>(E35/E10*E11-SUM(C36:D36))</f>
        <v>217750</v>
      </c>
      <c r="F36" s="264">
        <f>(F35/F10*F11-SUM(C36:E36))</f>
        <v>91875</v>
      </c>
      <c r="G36" s="264">
        <f>(G35/G10*G11-SUM(C36:F36))</f>
        <v>62187.5</v>
      </c>
      <c r="H36" s="264">
        <f>(H35/H10*H11-SUM(C36:G36))</f>
        <v>32487.5</v>
      </c>
      <c r="I36" s="264">
        <f>(I35/I10*I11-SUM(C36:H36))</f>
        <v>32491.666666666744</v>
      </c>
      <c r="J36" s="264">
        <f>(J35/J10*J11-SUM(C36:I36))</f>
        <v>140566.66666666663</v>
      </c>
      <c r="K36" s="264">
        <f>(K35/K10*K11-SUM(C36:J36))</f>
        <v>199504.16666666663</v>
      </c>
      <c r="L36" s="264">
        <f>(L35/L10*L11-SUM(C36:K36))</f>
        <v>62179.166666666744</v>
      </c>
      <c r="M36" s="264">
        <f>(M35/M10*M11-SUM(C36:L36))</f>
        <v>32495.833333333256</v>
      </c>
      <c r="N36" s="264">
        <f>(O35-SUM(C36:M36))</f>
        <v>266637.5</v>
      </c>
      <c r="O36" s="259">
        <f>SUM(C36:N36)</f>
        <v>1262550</v>
      </c>
      <c r="P36" s="108">
        <f>P35/12</f>
        <v>111666.66666666667</v>
      </c>
      <c r="Q36" s="108">
        <f>Q35/12</f>
        <v>91875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237500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329375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3">C21-C25-C36</f>
        <v>6967500</v>
      </c>
      <c r="D41" s="50">
        <f t="shared" si="13"/>
        <v>8158125</v>
      </c>
      <c r="E41" s="50">
        <f t="shared" si="13"/>
        <v>10637250</v>
      </c>
      <c r="F41" s="50">
        <f t="shared" si="13"/>
        <v>8158125</v>
      </c>
      <c r="G41" s="50">
        <f t="shared" si="13"/>
        <v>7562812.5</v>
      </c>
      <c r="H41" s="50">
        <f t="shared" si="13"/>
        <v>6967512.5</v>
      </c>
      <c r="I41" s="50">
        <f t="shared" si="13"/>
        <v>6967508.333333333</v>
      </c>
      <c r="J41" s="50">
        <f t="shared" si="13"/>
        <v>9134433.333333334</v>
      </c>
      <c r="K41" s="50">
        <f>K21-K25-K36</f>
        <v>10290495.833333334</v>
      </c>
      <c r="L41" s="50">
        <f>L21-L25-L36</f>
        <v>7562820.833333333</v>
      </c>
      <c r="M41" s="50">
        <f>M21-M25-M36</f>
        <v>6967504.166666667</v>
      </c>
      <c r="N41" s="50">
        <f>N21-N25-N36</f>
        <v>6733362.5</v>
      </c>
      <c r="O41" s="50">
        <f>O21-O25-O36-O38</f>
        <v>101107450</v>
      </c>
      <c r="P41" s="126">
        <f>P21-P25-P36</f>
        <v>103888333.33333333</v>
      </c>
      <c r="Q41" s="126">
        <f>Q21-Q25-Q36</f>
        <v>98908125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1000-000000000000}"/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58"/>
  <dimension ref="A1:V59"/>
  <sheetViews>
    <sheetView zoomScale="54" workbookViewId="0">
      <selection activeCell="O13" sqref="O13"/>
    </sheetView>
  </sheetViews>
  <sheetFormatPr defaultColWidth="9.140625" defaultRowHeight="15" x14ac:dyDescent="0.25"/>
  <cols>
    <col min="1" max="1" width="8.5703125" style="3" bestFit="1" customWidth="1"/>
    <col min="2" max="2" width="79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542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80</v>
      </c>
      <c r="Q12" s="122" t="s">
        <v>3</v>
      </c>
    </row>
    <row r="13" spans="1:17" ht="20.100000000000001" customHeight="1" x14ac:dyDescent="0.25">
      <c r="A13" s="30">
        <v>1</v>
      </c>
      <c r="B13" s="31" t="s">
        <v>9</v>
      </c>
      <c r="C13" s="151">
        <v>3000000</v>
      </c>
      <c r="D13" s="92">
        <v>3000000</v>
      </c>
      <c r="E13" s="162">
        <v>3000000</v>
      </c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9000000</v>
      </c>
      <c r="P13" s="123">
        <f t="shared" ref="P13:P18" si="1">Q13</f>
        <v>0</v>
      </c>
      <c r="Q13" s="123">
        <f t="shared" ref="Q13:Q18" si="2">G13*12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si="2"/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3000000</v>
      </c>
      <c r="D19" s="37">
        <f>SUM(D13:D18)</f>
        <v>3000000</v>
      </c>
      <c r="E19" s="37">
        <f>SUM(E13:E18)</f>
        <v>3000000</v>
      </c>
      <c r="F19" s="37"/>
      <c r="G19" s="37"/>
      <c r="H19" s="37"/>
      <c r="I19" s="37"/>
      <c r="J19" s="37"/>
      <c r="K19" s="37"/>
      <c r="L19" s="37"/>
      <c r="M19" s="37"/>
      <c r="N19" s="37"/>
      <c r="O19" s="38">
        <f>SUM(O13:O18)</f>
        <v>9000000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3000000</v>
      </c>
      <c r="D21" s="259">
        <f t="shared" ref="D21:N21" si="3">D19+D20</f>
        <v>3000000</v>
      </c>
      <c r="E21" s="259">
        <f t="shared" si="3"/>
        <v>3000000</v>
      </c>
      <c r="F21" s="259">
        <f t="shared" si="3"/>
        <v>0</v>
      </c>
      <c r="G21" s="259">
        <f>G19+G20</f>
        <v>0</v>
      </c>
      <c r="H21" s="259">
        <f t="shared" si="3"/>
        <v>0</v>
      </c>
      <c r="I21" s="259">
        <f t="shared" si="3"/>
        <v>0</v>
      </c>
      <c r="J21" s="259">
        <f t="shared" si="3"/>
        <v>0</v>
      </c>
      <c r="K21" s="259">
        <f t="shared" si="3"/>
        <v>0</v>
      </c>
      <c r="L21" s="259">
        <f t="shared" si="3"/>
        <v>0</v>
      </c>
      <c r="M21" s="259">
        <f t="shared" si="3"/>
        <v>0</v>
      </c>
      <c r="N21" s="259">
        <f t="shared" si="3"/>
        <v>0</v>
      </c>
      <c r="O21" s="259">
        <f>O19+O20</f>
        <v>9000000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150000</v>
      </c>
      <c r="D23" s="257">
        <f t="shared" ref="D23:O23" si="4">IF(D21*5%&lt;500000,D21*5%,500000)</f>
        <v>150000</v>
      </c>
      <c r="E23" s="257">
        <f t="shared" si="4"/>
        <v>150000</v>
      </c>
      <c r="F23" s="257">
        <f t="shared" si="4"/>
        <v>0</v>
      </c>
      <c r="G23" s="257">
        <f>IF(G21*5%&lt;500000,G21*5%,500000)</f>
        <v>0</v>
      </c>
      <c r="H23" s="257">
        <f t="shared" si="4"/>
        <v>0</v>
      </c>
      <c r="I23" s="257">
        <f t="shared" si="4"/>
        <v>0</v>
      </c>
      <c r="J23" s="257">
        <f t="shared" si="4"/>
        <v>0</v>
      </c>
      <c r="K23" s="257">
        <f t="shared" si="4"/>
        <v>0</v>
      </c>
      <c r="L23" s="257">
        <f t="shared" si="4"/>
        <v>0</v>
      </c>
      <c r="M23" s="257">
        <f t="shared" si="4"/>
        <v>0</v>
      </c>
      <c r="N23" s="257">
        <f t="shared" si="4"/>
        <v>0</v>
      </c>
      <c r="O23" s="257">
        <f>IF(O21*5%&lt;6000000,O21*5%,600000)</f>
        <v>450000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5">SUM(C23:C25)</f>
        <v>150000</v>
      </c>
      <c r="D26" s="257">
        <f t="shared" si="5"/>
        <v>150000</v>
      </c>
      <c r="E26" s="257">
        <f t="shared" si="5"/>
        <v>150000</v>
      </c>
      <c r="F26" s="257">
        <f t="shared" si="5"/>
        <v>0</v>
      </c>
      <c r="G26" s="257">
        <f>SUM(G23:G25)</f>
        <v>0</v>
      </c>
      <c r="H26" s="257">
        <f t="shared" si="5"/>
        <v>0</v>
      </c>
      <c r="I26" s="257">
        <f t="shared" si="5"/>
        <v>0</v>
      </c>
      <c r="J26" s="257">
        <f t="shared" si="5"/>
        <v>0</v>
      </c>
      <c r="K26" s="257">
        <f t="shared" si="5"/>
        <v>0</v>
      </c>
      <c r="L26" s="257">
        <f t="shared" si="5"/>
        <v>0</v>
      </c>
      <c r="M26" s="257">
        <f t="shared" si="5"/>
        <v>0</v>
      </c>
      <c r="N26" s="257">
        <f t="shared" si="5"/>
        <v>0</v>
      </c>
      <c r="O26" s="263">
        <f>SUM(O22:O25)</f>
        <v>450000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2850000</v>
      </c>
      <c r="D28" s="255">
        <f t="shared" ref="D28:O28" si="6">D21-D26</f>
        <v>2850000</v>
      </c>
      <c r="E28" s="255">
        <f t="shared" si="6"/>
        <v>2850000</v>
      </c>
      <c r="F28" s="255">
        <f t="shared" si="6"/>
        <v>0</v>
      </c>
      <c r="G28" s="255">
        <f>G21-G26</f>
        <v>0</v>
      </c>
      <c r="H28" s="255">
        <f t="shared" si="6"/>
        <v>0</v>
      </c>
      <c r="I28" s="255">
        <f t="shared" si="6"/>
        <v>0</v>
      </c>
      <c r="J28" s="255">
        <f t="shared" si="6"/>
        <v>0</v>
      </c>
      <c r="K28" s="255">
        <f t="shared" si="6"/>
        <v>0</v>
      </c>
      <c r="L28" s="255">
        <f t="shared" si="6"/>
        <v>0</v>
      </c>
      <c r="M28" s="255">
        <f t="shared" si="6"/>
        <v>0</v>
      </c>
      <c r="N28" s="255">
        <f t="shared" si="6"/>
        <v>0</v>
      </c>
      <c r="O28" s="255">
        <f t="shared" si="6"/>
        <v>8550000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34200000</v>
      </c>
      <c r="D30" s="253">
        <f>SUM(C28:D28)*D10/D11</f>
        <v>34200000</v>
      </c>
      <c r="E30" s="253">
        <f>SUM(C28:E28)*E10/E11</f>
        <v>34200000</v>
      </c>
      <c r="F30" s="253">
        <f>SUM(C28:F28)*F10/F11</f>
        <v>25650000</v>
      </c>
      <c r="G30" s="253">
        <f>SUM(C28:G28)*G10/G11</f>
        <v>20520000</v>
      </c>
      <c r="H30" s="253">
        <f>SUM(C28:H28)*H10/H11</f>
        <v>17100000</v>
      </c>
      <c r="I30" s="253">
        <f>SUM(C28:I28)*I10/I11</f>
        <v>14657142.857142856</v>
      </c>
      <c r="J30" s="253">
        <f>SUM(C28:J28)*J10/J11</f>
        <v>12825000</v>
      </c>
      <c r="K30" s="253">
        <f>SUM(C28:K28)*K10/K11</f>
        <v>11400000</v>
      </c>
      <c r="L30" s="253">
        <f>SUM(C28:L28)*L10/L11</f>
        <v>10260000</v>
      </c>
      <c r="M30" s="253">
        <f>SUM(C28:M28)*M10/M11</f>
        <v>9327272.7272727266</v>
      </c>
      <c r="N30" s="253">
        <f>SUM(C28:N28)*N10/N11</f>
        <v>8550000</v>
      </c>
      <c r="O30" s="254">
        <f>O28</f>
        <v>8550000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7">IF(C30&gt;0,VLOOKUP(C9,$B$47:$C$59,2,FALSE),0)</f>
        <v>54000000</v>
      </c>
      <c r="D31" s="255">
        <f t="shared" si="7"/>
        <v>54000000</v>
      </c>
      <c r="E31" s="255">
        <f t="shared" si="7"/>
        <v>54000000</v>
      </c>
      <c r="F31" s="255">
        <f t="shared" si="7"/>
        <v>54000000</v>
      </c>
      <c r="G31" s="255">
        <f>IF(G30&gt;0,VLOOKUP(G9,$B$47:$C$59,2,FALSE),0)</f>
        <v>54000000</v>
      </c>
      <c r="H31" s="255">
        <f t="shared" si="7"/>
        <v>54000000</v>
      </c>
      <c r="I31" s="255">
        <f t="shared" si="7"/>
        <v>54000000</v>
      </c>
      <c r="J31" s="255">
        <f t="shared" si="7"/>
        <v>54000000</v>
      </c>
      <c r="K31" s="255">
        <f t="shared" si="7"/>
        <v>54000000</v>
      </c>
      <c r="L31" s="255">
        <f t="shared" si="7"/>
        <v>54000000</v>
      </c>
      <c r="M31" s="255">
        <f t="shared" si="7"/>
        <v>54000000</v>
      </c>
      <c r="N31" s="255">
        <f t="shared" si="7"/>
        <v>54000000</v>
      </c>
      <c r="O31" s="255">
        <f t="shared" si="7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8">ROUNDDOWN(IF(D30&lt;=D31,0,IF(D30&gt;D31,D30-D31)),-3)</f>
        <v>0</v>
      </c>
      <c r="E32" s="256">
        <f t="shared" si="8"/>
        <v>0</v>
      </c>
      <c r="F32" s="256">
        <f t="shared" si="8"/>
        <v>0</v>
      </c>
      <c r="G32" s="256">
        <f t="shared" si="8"/>
        <v>0</v>
      </c>
      <c r="H32" s="256">
        <f t="shared" si="8"/>
        <v>0</v>
      </c>
      <c r="I32" s="256">
        <f>ROUNDDOWN(IF(I30&lt;=I31,0,IF(I30&gt;I31,I30-I31)),-3)</f>
        <v>0</v>
      </c>
      <c r="J32" s="256">
        <f t="shared" si="8"/>
        <v>0</v>
      </c>
      <c r="K32" s="256">
        <f t="shared" si="8"/>
        <v>0</v>
      </c>
      <c r="L32" s="256">
        <f t="shared" si="8"/>
        <v>0</v>
      </c>
      <c r="M32" s="256">
        <f t="shared" si="8"/>
        <v>0</v>
      </c>
      <c r="N32" s="256">
        <f t="shared" si="8"/>
        <v>0</v>
      </c>
      <c r="O32" s="256">
        <f t="shared" si="8"/>
        <v>0</v>
      </c>
      <c r="P32" s="103">
        <f t="shared" ref="P32:Q32" si="9">ROUNDDOWN(IF(P30&lt;=P31,0,IF(P30&gt;P31,P30-P31)),-3)</f>
        <v>0</v>
      </c>
      <c r="Q32" s="103">
        <f t="shared" si="9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0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0"/>
        <v>0</v>
      </c>
      <c r="E33" s="257">
        <f t="shared" si="10"/>
        <v>0</v>
      </c>
      <c r="F33" s="257">
        <f t="shared" si="10"/>
        <v>0</v>
      </c>
      <c r="G33" s="257">
        <f t="shared" si="10"/>
        <v>0</v>
      </c>
      <c r="H33" s="257">
        <f t="shared" si="10"/>
        <v>0</v>
      </c>
      <c r="I33" s="257">
        <f t="shared" si="10"/>
        <v>0</v>
      </c>
      <c r="J33" s="257">
        <f t="shared" si="10"/>
        <v>0</v>
      </c>
      <c r="K33" s="257">
        <f t="shared" si="10"/>
        <v>0</v>
      </c>
      <c r="L33" s="257">
        <f t="shared" si="10"/>
        <v>0</v>
      </c>
      <c r="M33" s="257">
        <f t="shared" si="10"/>
        <v>0</v>
      </c>
      <c r="N33" s="257">
        <f t="shared" si="10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103">
        <f>IF(P32&lt;0,0,IF(P32&lt;50000000,P32*5%,IF(P32&lt;250000000,(P32-50000000)*15%+2500000,IF(P32&lt;500000000,(P32-250000000)*25%+32500000,IF(P32&gt;500000000,(P32-500000000)*30%+95000000)))))</f>
        <v>0</v>
      </c>
      <c r="Q33" s="103">
        <f>IF(Q32&lt;0,0,IF(Q32&lt;50000000,Q32*5%,IF(Q32&lt;250000000,(Q32-50000000)*15%+2500000,IF(Q32&lt;500000000,(Q32-250000000)*25%+32500000,IF(Q32&gt;500000000,(Q32-500000000)*30%+95000000)))))</f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1">D33-D34</f>
        <v>0</v>
      </c>
      <c r="E35" s="255">
        <f t="shared" si="11"/>
        <v>0</v>
      </c>
      <c r="F35" s="255">
        <f t="shared" si="11"/>
        <v>0</v>
      </c>
      <c r="G35" s="255">
        <f t="shared" si="11"/>
        <v>0</v>
      </c>
      <c r="H35" s="255">
        <f t="shared" si="11"/>
        <v>0</v>
      </c>
      <c r="I35" s="255">
        <f t="shared" si="11"/>
        <v>0</v>
      </c>
      <c r="J35" s="255">
        <f t="shared" si="11"/>
        <v>0</v>
      </c>
      <c r="K35" s="255">
        <f t="shared" si="11"/>
        <v>0</v>
      </c>
      <c r="L35" s="255">
        <f t="shared" si="11"/>
        <v>0</v>
      </c>
      <c r="M35" s="255">
        <f t="shared" si="11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2">C21-C25-C36</f>
        <v>3000000</v>
      </c>
      <c r="D41" s="50">
        <f t="shared" si="12"/>
        <v>3000000</v>
      </c>
      <c r="E41" s="50">
        <f t="shared" si="12"/>
        <v>3000000</v>
      </c>
      <c r="F41" s="50">
        <f t="shared" si="12"/>
        <v>0</v>
      </c>
      <c r="G41" s="50">
        <f t="shared" si="12"/>
        <v>0</v>
      </c>
      <c r="H41" s="50">
        <f t="shared" si="12"/>
        <v>0</v>
      </c>
      <c r="I41" s="50">
        <f t="shared" si="12"/>
        <v>0</v>
      </c>
      <c r="J41" s="50">
        <f t="shared" si="12"/>
        <v>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0</v>
      </c>
      <c r="O41" s="50">
        <f>O21-O25-O36-O38</f>
        <v>9000000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D13:N18 P13:Q18" xr:uid="{00000000-0002-0000-1100-000000000000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7"/>
  <dimension ref="A1:V59"/>
  <sheetViews>
    <sheetView zoomScale="57" workbookViewId="0">
      <selection activeCell="O23" sqref="O23"/>
    </sheetView>
  </sheetViews>
  <sheetFormatPr defaultColWidth="9.140625" defaultRowHeight="15" x14ac:dyDescent="0.25"/>
  <cols>
    <col min="1" max="1" width="8.5703125" style="3" bestFit="1" customWidth="1"/>
    <col min="2" max="2" width="74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432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4000000</v>
      </c>
      <c r="D13" s="92">
        <v>4000000</v>
      </c>
      <c r="E13" s="162">
        <v>4000000</v>
      </c>
      <c r="F13" s="92">
        <v>4000000</v>
      </c>
      <c r="G13" s="92">
        <v>4000000</v>
      </c>
      <c r="H13" s="92">
        <v>4000000</v>
      </c>
      <c r="I13" s="92">
        <v>4000000</v>
      </c>
      <c r="J13" s="92">
        <v>4000000</v>
      </c>
      <c r="K13" s="92">
        <v>4000000</v>
      </c>
      <c r="L13" s="92">
        <v>4000000</v>
      </c>
      <c r="M13" s="92">
        <v>4000000</v>
      </c>
      <c r="N13" s="92">
        <v>4000000</v>
      </c>
      <c r="O13" s="32">
        <f>SUM(C13:N13)</f>
        <v>48000000</v>
      </c>
      <c r="P13" s="123">
        <f t="shared" ref="P13:P18" si="1">Q13</f>
        <v>48000000</v>
      </c>
      <c r="Q13" s="123">
        <f>F13*12</f>
        <v>48000000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4000000</v>
      </c>
      <c r="D19" s="37">
        <f t="shared" si="3"/>
        <v>4000000</v>
      </c>
      <c r="E19" s="37">
        <f t="shared" si="3"/>
        <v>4000000</v>
      </c>
      <c r="F19" s="37">
        <f t="shared" si="3"/>
        <v>4000000</v>
      </c>
      <c r="G19" s="37">
        <f t="shared" si="3"/>
        <v>4000000</v>
      </c>
      <c r="H19" s="37">
        <f t="shared" si="3"/>
        <v>4000000</v>
      </c>
      <c r="I19" s="37">
        <f t="shared" si="3"/>
        <v>4000000</v>
      </c>
      <c r="J19" s="37">
        <f t="shared" si="3"/>
        <v>4000000</v>
      </c>
      <c r="K19" s="37">
        <f t="shared" si="3"/>
        <v>4000000</v>
      </c>
      <c r="L19" s="37">
        <f t="shared" si="3"/>
        <v>4000000</v>
      </c>
      <c r="M19" s="37">
        <f t="shared" si="3"/>
        <v>4000000</v>
      </c>
      <c r="N19" s="37">
        <f t="shared" si="3"/>
        <v>4000000</v>
      </c>
      <c r="O19" s="38">
        <f>SUM(O13:O18)</f>
        <v>48000000</v>
      </c>
      <c r="P19" s="103">
        <f>SUM(P13:P18)</f>
        <v>48000000</v>
      </c>
      <c r="Q19" s="103">
        <f>SUM(Q13:Q18)</f>
        <v>48000000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2000000</v>
      </c>
      <c r="P20" s="110">
        <v>2000000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4000000</v>
      </c>
      <c r="D21" s="259">
        <f t="shared" ref="D21:N21" si="4">D19+D20</f>
        <v>4000000</v>
      </c>
      <c r="E21" s="259">
        <f t="shared" si="4"/>
        <v>4000000</v>
      </c>
      <c r="F21" s="259">
        <f t="shared" si="4"/>
        <v>4000000</v>
      </c>
      <c r="G21" s="259">
        <f>G19+G20</f>
        <v>4000000</v>
      </c>
      <c r="H21" s="259">
        <f t="shared" si="4"/>
        <v>4000000</v>
      </c>
      <c r="I21" s="259">
        <f t="shared" si="4"/>
        <v>4000000</v>
      </c>
      <c r="J21" s="259">
        <f t="shared" si="4"/>
        <v>4000000</v>
      </c>
      <c r="K21" s="259">
        <f t="shared" si="4"/>
        <v>4000000</v>
      </c>
      <c r="L21" s="259">
        <f t="shared" si="4"/>
        <v>4000000</v>
      </c>
      <c r="M21" s="259">
        <f t="shared" si="4"/>
        <v>4000000</v>
      </c>
      <c r="N21" s="259">
        <f t="shared" si="4"/>
        <v>4000000</v>
      </c>
      <c r="O21" s="259">
        <f>O19+O20</f>
        <v>50000000</v>
      </c>
      <c r="P21" s="103">
        <f>P19+P20</f>
        <v>50000000</v>
      </c>
      <c r="Q21" s="103">
        <f>Q19+Q20</f>
        <v>48000000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200000</v>
      </c>
      <c r="D23" s="257">
        <f t="shared" ref="D23:O23" si="5">IF(D21*5%&lt;500000,D21*5%,500000)</f>
        <v>200000</v>
      </c>
      <c r="E23" s="257">
        <f t="shared" si="5"/>
        <v>200000</v>
      </c>
      <c r="F23" s="257">
        <f t="shared" si="5"/>
        <v>200000</v>
      </c>
      <c r="G23" s="257">
        <f>IF(G21*5%&lt;500000,G21*5%,500000)</f>
        <v>200000</v>
      </c>
      <c r="H23" s="257">
        <f t="shared" si="5"/>
        <v>200000</v>
      </c>
      <c r="I23" s="257">
        <f t="shared" si="5"/>
        <v>200000</v>
      </c>
      <c r="J23" s="257">
        <f t="shared" si="5"/>
        <v>200000</v>
      </c>
      <c r="K23" s="257">
        <f t="shared" si="5"/>
        <v>200000</v>
      </c>
      <c r="L23" s="257">
        <f t="shared" si="5"/>
        <v>200000</v>
      </c>
      <c r="M23" s="257">
        <f t="shared" si="5"/>
        <v>200000</v>
      </c>
      <c r="N23" s="257">
        <f t="shared" si="5"/>
        <v>200000</v>
      </c>
      <c r="O23" s="257">
        <f>IF(O21*5%&lt;6000000,O21*5%,6000000)</f>
        <v>2500000</v>
      </c>
      <c r="P23" s="110">
        <f>IF(P21*5%&lt;6000000,P21*5%,6000000)</f>
        <v>2500000</v>
      </c>
      <c r="Q23" s="110">
        <f>IF(Q21*5%&lt;6000000,Q21*5%,6000000)</f>
        <v>2400000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200000</v>
      </c>
      <c r="D26" s="257">
        <f t="shared" si="6"/>
        <v>200000</v>
      </c>
      <c r="E26" s="257">
        <f t="shared" si="6"/>
        <v>200000</v>
      </c>
      <c r="F26" s="257">
        <f t="shared" si="6"/>
        <v>200000</v>
      </c>
      <c r="G26" s="257">
        <f>SUM(G23:G25)</f>
        <v>200000</v>
      </c>
      <c r="H26" s="257">
        <f t="shared" si="6"/>
        <v>200000</v>
      </c>
      <c r="I26" s="257">
        <f t="shared" si="6"/>
        <v>200000</v>
      </c>
      <c r="J26" s="257">
        <f t="shared" si="6"/>
        <v>200000</v>
      </c>
      <c r="K26" s="257">
        <f t="shared" si="6"/>
        <v>200000</v>
      </c>
      <c r="L26" s="257">
        <f t="shared" si="6"/>
        <v>200000</v>
      </c>
      <c r="M26" s="257">
        <f t="shared" si="6"/>
        <v>200000</v>
      </c>
      <c r="N26" s="257">
        <f t="shared" si="6"/>
        <v>200000</v>
      </c>
      <c r="O26" s="263">
        <f>SUM(O22:O25)</f>
        <v>2500000</v>
      </c>
      <c r="P26" s="103">
        <f>SUM(P23:P25)</f>
        <v>2500000</v>
      </c>
      <c r="Q26" s="103">
        <f>SUM(Q23:Q25)</f>
        <v>2400000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3800000</v>
      </c>
      <c r="D28" s="255">
        <f t="shared" ref="D28:O28" si="7">D21-D26</f>
        <v>3800000</v>
      </c>
      <c r="E28" s="255">
        <f t="shared" si="7"/>
        <v>3800000</v>
      </c>
      <c r="F28" s="255">
        <f t="shared" si="7"/>
        <v>3800000</v>
      </c>
      <c r="G28" s="255">
        <f>G21-G26</f>
        <v>3800000</v>
      </c>
      <c r="H28" s="255">
        <f t="shared" si="7"/>
        <v>3800000</v>
      </c>
      <c r="I28" s="255">
        <f t="shared" si="7"/>
        <v>3800000</v>
      </c>
      <c r="J28" s="255">
        <f t="shared" si="7"/>
        <v>3800000</v>
      </c>
      <c r="K28" s="255">
        <f t="shared" si="7"/>
        <v>3800000</v>
      </c>
      <c r="L28" s="255">
        <f t="shared" si="7"/>
        <v>3800000</v>
      </c>
      <c r="M28" s="255">
        <f t="shared" si="7"/>
        <v>3800000</v>
      </c>
      <c r="N28" s="255">
        <f t="shared" si="7"/>
        <v>3800000</v>
      </c>
      <c r="O28" s="255">
        <f t="shared" si="7"/>
        <v>47500000</v>
      </c>
      <c r="P28" s="103">
        <f>P21-P26</f>
        <v>47500000</v>
      </c>
      <c r="Q28" s="103">
        <f>Q21-Q26</f>
        <v>45600000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45600000</v>
      </c>
      <c r="D30" s="253">
        <f>SUM(C28:D28)*D10/D11</f>
        <v>45600000</v>
      </c>
      <c r="E30" s="253">
        <f>SUM(C28:E28)*E10/E11</f>
        <v>45600000</v>
      </c>
      <c r="F30" s="253">
        <f>SUM(C28:F28)*F10/F11</f>
        <v>45600000</v>
      </c>
      <c r="G30" s="253">
        <f>SUM(C28:G28)*G10/G11</f>
        <v>45600000</v>
      </c>
      <c r="H30" s="253">
        <f>SUM(C28:H28)*H10/H11</f>
        <v>45600000</v>
      </c>
      <c r="I30" s="253">
        <f>SUM(C28:I28)*I10/I11</f>
        <v>45600000</v>
      </c>
      <c r="J30" s="253">
        <f>SUM(C28:J28)*J10/J11</f>
        <v>45600000</v>
      </c>
      <c r="K30" s="253">
        <f>SUM(C28:K28)*K10/K11</f>
        <v>45600000</v>
      </c>
      <c r="L30" s="253">
        <f>SUM(C28:L28)*L10/L11</f>
        <v>45600000</v>
      </c>
      <c r="M30" s="253">
        <f>SUM(C28:M28)*M10/M11</f>
        <v>45600000</v>
      </c>
      <c r="N30" s="253">
        <f>SUM(C28:N28)*N10/N11</f>
        <v>45600000</v>
      </c>
      <c r="O30" s="254">
        <f>O28</f>
        <v>47500000</v>
      </c>
      <c r="P30" s="108">
        <f>P28</f>
        <v>47500000</v>
      </c>
      <c r="Q30" s="108">
        <f>Q28</f>
        <v>45600000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54000000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P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4000000</v>
      </c>
      <c r="D41" s="50">
        <f t="shared" si="14"/>
        <v>4000000</v>
      </c>
      <c r="E41" s="50">
        <f t="shared" si="14"/>
        <v>4000000</v>
      </c>
      <c r="F41" s="50">
        <f t="shared" si="14"/>
        <v>4000000</v>
      </c>
      <c r="G41" s="50">
        <f t="shared" si="14"/>
        <v>4000000</v>
      </c>
      <c r="H41" s="50">
        <f t="shared" si="14"/>
        <v>4000000</v>
      </c>
      <c r="I41" s="50">
        <f t="shared" si="14"/>
        <v>4000000</v>
      </c>
      <c r="J41" s="50">
        <f t="shared" si="14"/>
        <v>4000000</v>
      </c>
      <c r="K41" s="50">
        <f>K21-K25-K36</f>
        <v>4000000</v>
      </c>
      <c r="L41" s="50">
        <f>L21-L25-L36</f>
        <v>4000000</v>
      </c>
      <c r="M41" s="50">
        <f>M21-M25-M36</f>
        <v>4000000</v>
      </c>
      <c r="N41" s="50">
        <f>N21-N25-N36</f>
        <v>4000000</v>
      </c>
      <c r="O41" s="50">
        <f>O21-O25-O36-O38</f>
        <v>50000000</v>
      </c>
      <c r="P41" s="126">
        <f>P21-P25-P36</f>
        <v>50000000</v>
      </c>
      <c r="Q41" s="126">
        <f>Q21-Q25-Q36</f>
        <v>48000000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12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/>
  </sheetPr>
  <dimension ref="A1:AM117"/>
  <sheetViews>
    <sheetView tabSelected="1" topLeftCell="A2" zoomScale="70" zoomScaleNormal="70" workbookViewId="0">
      <pane xSplit="4" ySplit="3" topLeftCell="E5" activePane="bottomRight" state="frozen"/>
      <selection activeCell="D5" sqref="D5"/>
      <selection pane="topRight" activeCell="D5" sqref="D5"/>
      <selection pane="bottomLeft" activeCell="D5" sqref="D5"/>
      <selection pane="bottomRight" activeCell="K22" sqref="K22"/>
    </sheetView>
  </sheetViews>
  <sheetFormatPr defaultColWidth="9.140625" defaultRowHeight="12.75" x14ac:dyDescent="0.2"/>
  <cols>
    <col min="1" max="1" width="6.7109375" style="182" customWidth="1"/>
    <col min="2" max="2" width="23" style="181" customWidth="1"/>
    <col min="3" max="3" width="10.7109375" style="181" customWidth="1"/>
    <col min="4" max="4" width="25.28515625" style="181" customWidth="1"/>
    <col min="5" max="5" width="12.140625" style="182" customWidth="1"/>
    <col min="6" max="6" width="10.5703125" style="182" customWidth="1"/>
    <col min="7" max="7" width="9.140625" style="181" customWidth="1"/>
    <col min="8" max="8" width="17.7109375" style="183" hidden="1" customWidth="1"/>
    <col min="9" max="9" width="17" style="184" hidden="1" customWidth="1"/>
    <col min="10" max="10" width="27.7109375" style="185" customWidth="1"/>
    <col min="11" max="11" width="17.28515625" style="185" customWidth="1"/>
    <col min="12" max="12" width="10.5703125" style="182" customWidth="1"/>
    <col min="13" max="13" width="14.7109375" style="186" customWidth="1"/>
    <col min="14" max="14" width="14.140625" style="186" customWidth="1"/>
    <col min="15" max="15" width="12.85546875" style="181" customWidth="1"/>
    <col min="16" max="16" width="12.42578125" style="181" customWidth="1"/>
    <col min="17" max="17" width="14" style="181" customWidth="1"/>
    <col min="18" max="18" width="11.5703125" style="181" customWidth="1"/>
    <col min="19" max="19" width="12.85546875" style="181" customWidth="1"/>
    <col min="20" max="20" width="15.7109375" style="181" customWidth="1"/>
    <col min="21" max="21" width="15.28515625" style="181" customWidth="1"/>
    <col min="22" max="22" width="12.5703125" style="181" customWidth="1"/>
    <col min="23" max="23" width="15.5703125" style="181" customWidth="1"/>
    <col min="24" max="24" width="12.7109375" style="181" customWidth="1"/>
    <col min="25" max="25" width="12.85546875" style="181" customWidth="1"/>
    <col min="26" max="26" width="12.5703125" style="181" customWidth="1"/>
    <col min="27" max="27" width="14.28515625" style="181" customWidth="1"/>
    <col min="28" max="28" width="15.5703125" style="181" customWidth="1"/>
    <col min="29" max="29" width="12.85546875" style="181" customWidth="1"/>
    <col min="30" max="30" width="10.5703125" style="181" customWidth="1"/>
    <col min="31" max="31" width="12.85546875" style="181" customWidth="1"/>
    <col min="32" max="32" width="12.7109375" style="181" customWidth="1"/>
    <col min="33" max="33" width="12.85546875" style="181" customWidth="1"/>
    <col min="34" max="34" width="11.42578125" style="181" customWidth="1"/>
    <col min="35" max="35" width="12.85546875" style="181" customWidth="1"/>
    <col min="36" max="36" width="10.5703125" style="181" customWidth="1"/>
    <col min="37" max="37" width="12.85546875" style="181" customWidth="1"/>
    <col min="38" max="38" width="13.42578125" style="181" customWidth="1"/>
    <col min="39" max="39" width="14.28515625" style="181" bestFit="1" customWidth="1"/>
    <col min="40" max="16384" width="9.140625" style="181"/>
  </cols>
  <sheetData>
    <row r="1" spans="1:39" x14ac:dyDescent="0.2">
      <c r="A1" s="180" t="s">
        <v>63</v>
      </c>
      <c r="N1" s="186" t="e">
        <f>#REF!*120%</f>
        <v>#REF!</v>
      </c>
      <c r="U1" s="187"/>
      <c r="V1" s="187"/>
    </row>
    <row r="2" spans="1:39" x14ac:dyDescent="0.2">
      <c r="A2" s="180"/>
      <c r="U2" s="187"/>
      <c r="V2" s="187"/>
      <c r="AE2" s="187">
        <f>SUM(AE9:AE102)</f>
        <v>222100000</v>
      </c>
      <c r="AG2" s="187">
        <f>SUM(AG9:AG102)</f>
        <v>196144000</v>
      </c>
      <c r="AI2" s="187">
        <f>SUM(AI9:AI102)</f>
        <v>148700000</v>
      </c>
      <c r="AK2" s="187">
        <f>SUM(AK9:AK104)</f>
        <v>162226727</v>
      </c>
    </row>
    <row r="3" spans="1:39" x14ac:dyDescent="0.2">
      <c r="A3" s="265" t="s">
        <v>426</v>
      </c>
      <c r="B3" s="265" t="s">
        <v>523</v>
      </c>
      <c r="C3" s="265" t="s">
        <v>51</v>
      </c>
      <c r="D3" s="268" t="s">
        <v>442</v>
      </c>
      <c r="E3" s="268" t="s">
        <v>38</v>
      </c>
      <c r="F3" s="268" t="s">
        <v>441</v>
      </c>
      <c r="G3" s="265" t="s">
        <v>53</v>
      </c>
      <c r="H3" s="266" t="s">
        <v>54</v>
      </c>
      <c r="I3" s="266"/>
      <c r="J3" s="270" t="s">
        <v>443</v>
      </c>
      <c r="K3" s="270" t="s">
        <v>103</v>
      </c>
      <c r="L3" s="188" t="s">
        <v>92</v>
      </c>
      <c r="M3" s="267" t="s">
        <v>55</v>
      </c>
      <c r="N3" s="267"/>
      <c r="O3" s="265" t="s">
        <v>56</v>
      </c>
      <c r="P3" s="265"/>
      <c r="Q3" s="265" t="s">
        <v>1</v>
      </c>
      <c r="R3" s="265"/>
      <c r="S3" s="265" t="s">
        <v>57</v>
      </c>
      <c r="T3" s="265"/>
      <c r="U3" s="265" t="s">
        <v>72</v>
      </c>
      <c r="V3" s="265"/>
      <c r="W3" s="265" t="s">
        <v>3</v>
      </c>
      <c r="X3" s="265"/>
      <c r="Y3" s="265" t="s">
        <v>4</v>
      </c>
      <c r="Z3" s="265"/>
      <c r="AA3" s="265" t="s">
        <v>5</v>
      </c>
      <c r="AB3" s="265"/>
      <c r="AC3" s="265" t="s">
        <v>527</v>
      </c>
      <c r="AD3" s="265"/>
      <c r="AE3" s="265" t="s">
        <v>6</v>
      </c>
      <c r="AF3" s="265"/>
      <c r="AG3" s="265" t="s">
        <v>58</v>
      </c>
      <c r="AH3" s="265"/>
      <c r="AI3" s="265" t="s">
        <v>7</v>
      </c>
      <c r="AJ3" s="265"/>
      <c r="AK3" s="265" t="s">
        <v>8</v>
      </c>
      <c r="AL3" s="265"/>
      <c r="AM3" s="189"/>
    </row>
    <row r="4" spans="1:39" x14ac:dyDescent="0.2">
      <c r="A4" s="265"/>
      <c r="B4" s="265"/>
      <c r="C4" s="265"/>
      <c r="D4" s="269"/>
      <c r="E4" s="269"/>
      <c r="F4" s="269"/>
      <c r="G4" s="265"/>
      <c r="H4" s="190" t="s">
        <v>59</v>
      </c>
      <c r="I4" s="191" t="s">
        <v>60</v>
      </c>
      <c r="J4" s="269"/>
      <c r="K4" s="271"/>
      <c r="L4" s="192"/>
      <c r="M4" s="193" t="s">
        <v>555</v>
      </c>
      <c r="N4" s="193" t="s">
        <v>61</v>
      </c>
      <c r="O4" s="193" t="s">
        <v>555</v>
      </c>
      <c r="P4" s="194" t="s">
        <v>61</v>
      </c>
      <c r="Q4" s="193" t="s">
        <v>555</v>
      </c>
      <c r="R4" s="194" t="s">
        <v>61</v>
      </c>
      <c r="S4" s="193" t="s">
        <v>555</v>
      </c>
      <c r="T4" s="195" t="s">
        <v>61</v>
      </c>
      <c r="U4" s="196" t="s">
        <v>555</v>
      </c>
      <c r="V4" s="195" t="s">
        <v>61</v>
      </c>
      <c r="W4" s="196" t="s">
        <v>555</v>
      </c>
      <c r="X4" s="195" t="s">
        <v>61</v>
      </c>
      <c r="Y4" s="193" t="s">
        <v>555</v>
      </c>
      <c r="Z4" s="194" t="s">
        <v>61</v>
      </c>
      <c r="AA4" s="193" t="s">
        <v>555</v>
      </c>
      <c r="AB4" s="194" t="s">
        <v>61</v>
      </c>
      <c r="AC4" s="193" t="s">
        <v>555</v>
      </c>
      <c r="AD4" s="194" t="s">
        <v>61</v>
      </c>
      <c r="AE4" s="193" t="s">
        <v>555</v>
      </c>
      <c r="AF4" s="194" t="s">
        <v>61</v>
      </c>
      <c r="AG4" s="193" t="s">
        <v>555</v>
      </c>
      <c r="AH4" s="194" t="s">
        <v>61</v>
      </c>
      <c r="AI4" s="193" t="s">
        <v>555</v>
      </c>
      <c r="AJ4" s="194" t="s">
        <v>61</v>
      </c>
      <c r="AK4" s="193" t="s">
        <v>555</v>
      </c>
      <c r="AL4" s="194" t="s">
        <v>61</v>
      </c>
      <c r="AM4" s="189"/>
    </row>
    <row r="5" spans="1:39" x14ac:dyDescent="0.2">
      <c r="A5" s="197">
        <v>1</v>
      </c>
      <c r="B5" s="198" t="s">
        <v>522</v>
      </c>
      <c r="C5" s="199" t="s">
        <v>535</v>
      </c>
      <c r="D5" s="200" t="s">
        <v>576</v>
      </c>
      <c r="E5" s="152" t="s">
        <v>529</v>
      </c>
      <c r="F5" s="153" t="s">
        <v>116</v>
      </c>
      <c r="G5" s="197" t="s">
        <v>67</v>
      </c>
      <c r="H5" s="201"/>
      <c r="I5" s="202"/>
      <c r="J5" s="203" t="s">
        <v>534</v>
      </c>
      <c r="K5" s="204" t="s">
        <v>449</v>
      </c>
      <c r="L5" s="205" t="s">
        <v>449</v>
      </c>
      <c r="M5" s="177">
        <f>'Aisha Mutiara S'!C21</f>
        <v>9500000</v>
      </c>
      <c r="N5" s="177">
        <f>'Aisha Mutiara S'!C36</f>
        <v>226250</v>
      </c>
      <c r="O5" s="177">
        <f>'Aisha Mutiara S'!D21</f>
        <v>5000000</v>
      </c>
      <c r="P5" s="177">
        <f>'Aisha Mutiara S'!D36</f>
        <v>12500</v>
      </c>
      <c r="Q5" s="177">
        <f>'Aisha Mutiara S'!E21</f>
        <v>8010000</v>
      </c>
      <c r="R5" s="177">
        <f>'Aisha Mutiara S'!E36</f>
        <v>155475</v>
      </c>
      <c r="S5" s="177">
        <f>'Aisha Mutiara S'!F21</f>
        <v>5000000</v>
      </c>
      <c r="T5" s="177">
        <f>'Aisha Mutiara S'!F36</f>
        <v>12491.666666666686</v>
      </c>
      <c r="U5" s="177">
        <f>'Aisha Mutiara S'!P20</f>
        <v>5000000</v>
      </c>
      <c r="V5" s="177">
        <f>'Aisha Mutiara S'!P37</f>
        <v>237500</v>
      </c>
      <c r="W5" s="177">
        <f>'Aisha Mutiara S'!G21</f>
        <v>7500000</v>
      </c>
      <c r="X5" s="177">
        <f>'Aisha Mutiara S'!G36</f>
        <v>131241.66666666669</v>
      </c>
      <c r="Y5" s="177">
        <f>'Aisha Mutiara S'!H21</f>
        <v>10000000</v>
      </c>
      <c r="Z5" s="177">
        <f>'Aisha Mutiara S'!H36</f>
        <v>250016.66666666663</v>
      </c>
      <c r="AA5" s="177">
        <f>'Aisha Mutiara S'!I21</f>
        <v>7500000</v>
      </c>
      <c r="AB5" s="177">
        <f>'Aisha Mutiara S'!I36</f>
        <v>131241.66666666663</v>
      </c>
      <c r="AC5" s="177">
        <f>'Aisha Mutiara S'!J21</f>
        <v>10000000</v>
      </c>
      <c r="AD5" s="177">
        <f>'Aisha Mutiara S'!J36</f>
        <v>249983.33333333337</v>
      </c>
      <c r="AE5" s="177">
        <f>'Aisha Mutiara S'!K21</f>
        <v>10000000</v>
      </c>
      <c r="AF5" s="177">
        <f>'Aisha Mutiara S'!K36</f>
        <v>250025</v>
      </c>
      <c r="AG5" s="177">
        <f>'Aisha Mutiara S'!L21</f>
        <v>10000000</v>
      </c>
      <c r="AH5" s="177">
        <f>'Aisha Mutiara S'!L36</f>
        <v>249983.33333333349</v>
      </c>
      <c r="AI5" s="177">
        <f>'Aisha Mutiara S'!M21</f>
        <v>10000000</v>
      </c>
      <c r="AJ5" s="177">
        <f>'Aisha Mutiara S'!M36</f>
        <v>250016.66666666651</v>
      </c>
      <c r="AK5" s="177">
        <f>'Aisha Mutiara S'!N21</f>
        <v>10000000</v>
      </c>
      <c r="AL5" s="177">
        <f>'Aisha Mutiara S'!N36</f>
        <v>249975</v>
      </c>
      <c r="AM5" s="187"/>
    </row>
    <row r="6" spans="1:39" x14ac:dyDescent="0.2">
      <c r="A6" s="197">
        <v>2</v>
      </c>
      <c r="B6" s="198" t="s">
        <v>522</v>
      </c>
      <c r="C6" s="199"/>
      <c r="D6" s="200" t="s">
        <v>450</v>
      </c>
      <c r="E6" s="152" t="s">
        <v>529</v>
      </c>
      <c r="F6" s="153" t="s">
        <v>116</v>
      </c>
      <c r="G6" s="197" t="s">
        <v>67</v>
      </c>
      <c r="H6" s="201"/>
      <c r="I6" s="202"/>
      <c r="J6" s="203" t="s">
        <v>534</v>
      </c>
      <c r="K6" s="203" t="s">
        <v>449</v>
      </c>
      <c r="L6" s="205" t="s">
        <v>449</v>
      </c>
      <c r="M6" s="177">
        <f>Asri!C17</f>
        <v>0</v>
      </c>
      <c r="N6" s="177">
        <f>Asri!C32</f>
        <v>0</v>
      </c>
      <c r="O6" s="177">
        <f>Asri!D17</f>
        <v>0</v>
      </c>
      <c r="P6" s="177">
        <f>Asri!D32</f>
        <v>0</v>
      </c>
      <c r="Q6" s="177">
        <f>Asri!E17</f>
        <v>0</v>
      </c>
      <c r="R6" s="177">
        <f>Asri!E32</f>
        <v>0</v>
      </c>
      <c r="S6" s="177">
        <f>Asri!F17</f>
        <v>0</v>
      </c>
      <c r="T6" s="177">
        <f>Asri!F32</f>
        <v>0</v>
      </c>
      <c r="U6" s="177">
        <f>Asri!P16</f>
        <v>0</v>
      </c>
      <c r="V6" s="177">
        <f>Asri!P33</f>
        <v>0</v>
      </c>
      <c r="W6" s="177">
        <f>Asri!G17</f>
        <v>0</v>
      </c>
      <c r="X6" s="177">
        <f>Asri!G32</f>
        <v>0</v>
      </c>
      <c r="Y6" s="177">
        <f>Asri!H17</f>
        <v>0</v>
      </c>
      <c r="Z6" s="177">
        <f>Asri!H32</f>
        <v>0</v>
      </c>
      <c r="AA6" s="177">
        <f>Asri!I17</f>
        <v>0</v>
      </c>
      <c r="AB6" s="177">
        <f>Asri!I32</f>
        <v>0</v>
      </c>
      <c r="AC6" s="177">
        <f>Asri!J17</f>
        <v>0</v>
      </c>
      <c r="AD6" s="177">
        <f>Asri!J32</f>
        <v>0</v>
      </c>
      <c r="AE6" s="177">
        <f>Asri!K17</f>
        <v>0</v>
      </c>
      <c r="AF6" s="177">
        <f>Asri!K32</f>
        <v>0</v>
      </c>
      <c r="AG6" s="177">
        <f>Asri!L17</f>
        <v>0</v>
      </c>
      <c r="AH6" s="177">
        <f>Asri!L32</f>
        <v>0</v>
      </c>
      <c r="AI6" s="177">
        <f>Asri!M17</f>
        <v>0</v>
      </c>
      <c r="AJ6" s="177">
        <f>Asri!M32</f>
        <v>0</v>
      </c>
      <c r="AK6" s="177">
        <f>Asri!N17</f>
        <v>0</v>
      </c>
      <c r="AL6" s="177">
        <f>Asri!N32</f>
        <v>0</v>
      </c>
      <c r="AM6" s="187"/>
    </row>
    <row r="7" spans="1:39" x14ac:dyDescent="0.2">
      <c r="A7" s="197">
        <v>3</v>
      </c>
      <c r="B7" s="198" t="s">
        <v>522</v>
      </c>
      <c r="C7" s="199"/>
      <c r="D7" s="200" t="s">
        <v>447</v>
      </c>
      <c r="E7" s="152" t="s">
        <v>529</v>
      </c>
      <c r="F7" s="153" t="s">
        <v>116</v>
      </c>
      <c r="G7" s="197" t="s">
        <v>67</v>
      </c>
      <c r="H7" s="201"/>
      <c r="I7" s="202"/>
      <c r="J7" s="203" t="s">
        <v>534</v>
      </c>
      <c r="K7" s="203" t="s">
        <v>449</v>
      </c>
      <c r="L7" s="205" t="s">
        <v>449</v>
      </c>
      <c r="M7" s="177">
        <f>'Fatimah Ratna Wijaya'!C21</f>
        <v>20150000</v>
      </c>
      <c r="N7" s="177">
        <f>'Fatimah Ratna Wijaya'!C36</f>
        <v>1772500</v>
      </c>
      <c r="O7" s="177">
        <f>'Fatimah Ratna Wijaya'!D21</f>
        <v>21000000</v>
      </c>
      <c r="P7" s="177">
        <f>'Fatimah Ratna Wijaya'!D36</f>
        <v>1900000</v>
      </c>
      <c r="Q7" s="177">
        <f>'Fatimah Ratna Wijaya'!E21</f>
        <v>20000000</v>
      </c>
      <c r="R7" s="177">
        <f>'Fatimah Ratna Wijaya'!E36</f>
        <v>1750000</v>
      </c>
      <c r="S7" s="177">
        <f>'Fatimah Ratna Wijaya'!F21</f>
        <v>22000000</v>
      </c>
      <c r="T7" s="173">
        <f>'Fatimah Ratna Wijaya'!F36</f>
        <v>2050000</v>
      </c>
      <c r="U7" s="173">
        <f>'Fatimah Ratna Wijaya'!P20</f>
        <v>5000000</v>
      </c>
      <c r="V7" s="173">
        <f>'Fatimah Ratna Wijaya'!P37</f>
        <v>750000</v>
      </c>
      <c r="W7" s="173">
        <f>'Fatimah Ratna Wijaya'!G21</f>
        <v>20000000</v>
      </c>
      <c r="X7" s="173">
        <f>'Fatimah Ratna Wijaya'!G36</f>
        <v>1750000</v>
      </c>
      <c r="Y7" s="173">
        <f>'Fatimah Ratna Wijaya'!H21</f>
        <v>21000000</v>
      </c>
      <c r="Z7" s="173">
        <f>'Fatimah Ratna Wijaya'!H36</f>
        <v>1900000</v>
      </c>
      <c r="AA7" s="173">
        <f>'Fatimah Ratna Wijaya'!I21</f>
        <v>21000000</v>
      </c>
      <c r="AB7" s="173">
        <f>'Fatimah Ratna Wijaya'!I36</f>
        <v>1899950</v>
      </c>
      <c r="AC7" s="173">
        <f>'Fatimah Ratna Wijaya'!J21</f>
        <v>21000000</v>
      </c>
      <c r="AD7" s="173">
        <f>'Fatimah Ratna Wijaya'!J36</f>
        <v>1900050</v>
      </c>
      <c r="AE7" s="173">
        <f>'Fatimah Ratna Wijaya'!K21</f>
        <v>21000000</v>
      </c>
      <c r="AF7" s="173">
        <f>'Fatimah Ratna Wijaya'!K36</f>
        <v>1899962.5</v>
      </c>
      <c r="AG7" s="173">
        <f>'Fatimah Ratna Wijaya'!L21</f>
        <v>20500000</v>
      </c>
      <c r="AH7" s="173">
        <f>'Fatimah Ratna Wijaya'!L36</f>
        <v>1825037.5</v>
      </c>
      <c r="AI7" s="173">
        <f>'Fatimah Ratna Wijaya'!M21</f>
        <v>21000000</v>
      </c>
      <c r="AJ7" s="173">
        <f>'Fatimah Ratna Wijaya'!M36</f>
        <v>1899950</v>
      </c>
      <c r="AK7" s="173">
        <f>'Fatimah Ratna Wijaya'!N21</f>
        <v>20000000</v>
      </c>
      <c r="AL7" s="173">
        <f>'Fatimah Ratna Wijaya'!N36</f>
        <v>1750050</v>
      </c>
      <c r="AM7" s="187"/>
    </row>
    <row r="8" spans="1:39" x14ac:dyDescent="0.2">
      <c r="A8" s="197">
        <v>4</v>
      </c>
      <c r="B8" s="198" t="s">
        <v>522</v>
      </c>
      <c r="C8" s="198" t="s">
        <v>557</v>
      </c>
      <c r="D8" s="200" t="s">
        <v>448</v>
      </c>
      <c r="E8" s="152" t="s">
        <v>533</v>
      </c>
      <c r="F8" s="153" t="s">
        <v>148</v>
      </c>
      <c r="G8" s="197" t="s">
        <v>64</v>
      </c>
      <c r="H8" s="201"/>
      <c r="I8" s="202"/>
      <c r="J8" s="203" t="s">
        <v>534</v>
      </c>
      <c r="K8" s="203" t="s">
        <v>449</v>
      </c>
      <c r="L8" s="205" t="s">
        <v>449</v>
      </c>
      <c r="M8" s="174">
        <f>'Rahmat Dwi Putranto'!C21</f>
        <v>20000000</v>
      </c>
      <c r="N8" s="174">
        <f>'Rahmat Dwi Putranto'!C36</f>
        <v>1525000</v>
      </c>
      <c r="O8" s="174">
        <f>'Rahmat Dwi Putranto'!D21</f>
        <v>20000000</v>
      </c>
      <c r="P8" s="174">
        <f>'Rahmat Dwi Putranto'!D36</f>
        <v>1525000</v>
      </c>
      <c r="Q8" s="174">
        <f>'Rahmat Dwi Putranto'!E21</f>
        <v>26030000</v>
      </c>
      <c r="R8" s="174">
        <f>'Rahmat Dwi Putranto'!E36</f>
        <v>2429500</v>
      </c>
      <c r="S8" s="174">
        <f>'Rahmat Dwi Putranto'!F21</f>
        <v>20000000</v>
      </c>
      <c r="T8" s="174">
        <f>'Rahmat Dwi Putranto'!F36</f>
        <v>1525000</v>
      </c>
      <c r="U8" s="174">
        <f>'Rahmat Dwi Putranto'!P20</f>
        <v>15000000</v>
      </c>
      <c r="V8" s="174">
        <f>'Rahmat Dwi Putranto'!P37</f>
        <v>2250000</v>
      </c>
      <c r="W8" s="174">
        <f>'Rahmat Dwi Putranto'!G21</f>
        <v>20000000</v>
      </c>
      <c r="X8" s="174">
        <f>'Rahmat Dwi Putranto'!G36</f>
        <v>1525000</v>
      </c>
      <c r="Y8" s="174">
        <f>'Rahmat Dwi Putranto'!H21</f>
        <v>20000000</v>
      </c>
      <c r="Z8" s="174">
        <f>'Rahmat Dwi Putranto'!H36</f>
        <v>1525000</v>
      </c>
      <c r="AA8" s="174">
        <f>'Rahmat Dwi Putranto'!I21</f>
        <v>20000000</v>
      </c>
      <c r="AB8" s="174">
        <f>'Rahmat Dwi Putranto'!I36</f>
        <v>1524987.5</v>
      </c>
      <c r="AC8" s="174">
        <f>'Rahmat Dwi Putranto'!J21</f>
        <v>20000000</v>
      </c>
      <c r="AD8" s="174">
        <f>'Rahmat Dwi Putranto'!J36</f>
        <v>1525012.5</v>
      </c>
      <c r="AE8" s="174">
        <f>'Rahmat Dwi Putranto'!K21</f>
        <v>20000000</v>
      </c>
      <c r="AF8" s="174">
        <f>'Rahmat Dwi Putranto'!K36</f>
        <v>1525000</v>
      </c>
      <c r="AG8" s="174">
        <f>'Rahmat Dwi Putranto'!L21</f>
        <v>20000000</v>
      </c>
      <c r="AH8" s="174">
        <f>'Rahmat Dwi Putranto'!L36</f>
        <v>1525000</v>
      </c>
      <c r="AI8" s="174">
        <f>'Rahmat Dwi Putranto'!M21</f>
        <v>20000000</v>
      </c>
      <c r="AJ8" s="174">
        <f>'Rahmat Dwi Putranto'!M36</f>
        <v>1524975</v>
      </c>
      <c r="AK8" s="174">
        <f>'Rahmat Dwi Putranto'!N21</f>
        <v>20000000</v>
      </c>
      <c r="AL8" s="174">
        <f>'Rahmat Dwi Putranto'!N36</f>
        <v>1525025</v>
      </c>
      <c r="AM8" s="187"/>
    </row>
    <row r="9" spans="1:39" x14ac:dyDescent="0.2">
      <c r="A9" s="197">
        <v>5</v>
      </c>
      <c r="B9" s="198" t="s">
        <v>522</v>
      </c>
      <c r="C9" s="198"/>
      <c r="D9" s="206" t="s">
        <v>580</v>
      </c>
      <c r="E9" s="152" t="s">
        <v>529</v>
      </c>
      <c r="F9" s="207" t="s">
        <v>148</v>
      </c>
      <c r="G9" s="197" t="s">
        <v>64</v>
      </c>
      <c r="H9" s="201"/>
      <c r="I9" s="202"/>
      <c r="J9" s="204"/>
      <c r="K9" s="204" t="s">
        <v>449</v>
      </c>
      <c r="L9" s="205" t="s">
        <v>449</v>
      </c>
      <c r="M9" s="174">
        <f>Slamet!C21</f>
        <v>3500000</v>
      </c>
      <c r="N9" s="174">
        <f>Slamet!C36</f>
        <v>0</v>
      </c>
      <c r="O9" s="174">
        <f>Slamet!D21</f>
        <v>0</v>
      </c>
      <c r="P9" s="174">
        <f>Slamet!D36</f>
        <v>0</v>
      </c>
      <c r="Q9" s="174">
        <f>Slamet!E21</f>
        <v>3500000</v>
      </c>
      <c r="R9" s="174">
        <f>Slamet!E36</f>
        <v>0</v>
      </c>
      <c r="S9" s="174">
        <f>Slamet!F21</f>
        <v>5500000</v>
      </c>
      <c r="T9" s="174">
        <f>Slamet!F36</f>
        <v>0</v>
      </c>
      <c r="U9" s="174">
        <f>Slamet!P20</f>
        <v>2000000</v>
      </c>
      <c r="V9" s="174">
        <f>Slamet!P37</f>
        <v>0</v>
      </c>
      <c r="W9" s="174">
        <f>Slamet!G21</f>
        <v>4000000</v>
      </c>
      <c r="X9" s="174">
        <f>Slamet!G36</f>
        <v>0</v>
      </c>
      <c r="Y9" s="174">
        <f>Slamet!H21</f>
        <v>0</v>
      </c>
      <c r="Z9" s="174">
        <f>Slamet!H36</f>
        <v>0</v>
      </c>
      <c r="AA9" s="174">
        <f>Slamet!I21</f>
        <v>3500000</v>
      </c>
      <c r="AB9" s="174">
        <f>Slamet!I36</f>
        <v>0</v>
      </c>
      <c r="AC9" s="174">
        <f>Slamet!J21</f>
        <v>3500000</v>
      </c>
      <c r="AD9" s="174">
        <f>Slamet!J36</f>
        <v>0</v>
      </c>
      <c r="AE9" s="174">
        <f>Slamet!K21</f>
        <v>1600000</v>
      </c>
      <c r="AF9" s="174">
        <f>Slamet!K36</f>
        <v>0</v>
      </c>
      <c r="AG9" s="174">
        <f>Slamet!L21</f>
        <v>4000000</v>
      </c>
      <c r="AH9" s="174">
        <f>Slamet!L36</f>
        <v>0</v>
      </c>
      <c r="AI9" s="174">
        <f>Slamet!M21</f>
        <v>0</v>
      </c>
      <c r="AJ9" s="174">
        <f>Slamet!M36</f>
        <v>0</v>
      </c>
      <c r="AK9" s="174">
        <f>Slamet!N21</f>
        <v>0</v>
      </c>
      <c r="AL9" s="174">
        <f>Slamet!N36</f>
        <v>0</v>
      </c>
      <c r="AM9" s="187"/>
    </row>
    <row r="10" spans="1:39" x14ac:dyDescent="0.2">
      <c r="A10" s="197"/>
      <c r="B10" s="198" t="s">
        <v>522</v>
      </c>
      <c r="C10" s="198"/>
      <c r="D10" s="206" t="s">
        <v>582</v>
      </c>
      <c r="E10" s="152" t="s">
        <v>529</v>
      </c>
      <c r="F10" s="207" t="s">
        <v>148</v>
      </c>
      <c r="G10" s="197" t="s">
        <v>64</v>
      </c>
      <c r="H10" s="201"/>
      <c r="I10" s="202"/>
      <c r="J10" s="204"/>
      <c r="K10" s="204" t="s">
        <v>449</v>
      </c>
      <c r="L10" s="205" t="s">
        <v>449</v>
      </c>
      <c r="M10" s="174">
        <f>Riandy!C17</f>
        <v>0</v>
      </c>
      <c r="N10" s="174">
        <f>Riandy!C32</f>
        <v>0</v>
      </c>
      <c r="O10" s="174">
        <f>Riandy!D17</f>
        <v>0</v>
      </c>
      <c r="P10" s="174">
        <f>Riandy!D32</f>
        <v>0</v>
      </c>
      <c r="Q10" s="174">
        <f>Riandy!E17</f>
        <v>0</v>
      </c>
      <c r="R10" s="174">
        <f>Riandy!E32</f>
        <v>0</v>
      </c>
      <c r="S10" s="174">
        <f>Riandy!F17</f>
        <v>0</v>
      </c>
      <c r="T10" s="174">
        <f>Riandy!F32</f>
        <v>0</v>
      </c>
      <c r="U10" s="174">
        <f>Riandy!P16</f>
        <v>0</v>
      </c>
      <c r="V10" s="174">
        <f>Riandy!P33</f>
        <v>0</v>
      </c>
      <c r="W10" s="174">
        <f>Riandy!G17</f>
        <v>0</v>
      </c>
      <c r="X10" s="174">
        <f>Riandy!G32</f>
        <v>0</v>
      </c>
      <c r="Y10" s="174">
        <f>Riandy!H17</f>
        <v>0</v>
      </c>
      <c r="Z10" s="174">
        <f>Riandy!H32</f>
        <v>0</v>
      </c>
      <c r="AA10" s="174">
        <f>Riandy!I17</f>
        <v>0</v>
      </c>
      <c r="AB10" s="174">
        <f>Riandy!I32</f>
        <v>0</v>
      </c>
      <c r="AC10" s="174">
        <f>Riandy!J17</f>
        <v>0</v>
      </c>
      <c r="AD10" s="174">
        <f>Riandy!J32</f>
        <v>0</v>
      </c>
      <c r="AE10" s="174">
        <f>Riandy!K17</f>
        <v>0</v>
      </c>
      <c r="AF10" s="174">
        <f>Riandy!K32</f>
        <v>0</v>
      </c>
      <c r="AG10" s="174">
        <f>Riandy!L17</f>
        <v>0</v>
      </c>
      <c r="AH10" s="174">
        <f>Riandy!L32</f>
        <v>0</v>
      </c>
      <c r="AI10" s="174">
        <f>Riandy!M17</f>
        <v>0</v>
      </c>
      <c r="AJ10" s="174">
        <f>Riandy!M32</f>
        <v>0</v>
      </c>
      <c r="AK10" s="174">
        <f>Riandy!N17</f>
        <v>0</v>
      </c>
      <c r="AL10" s="174">
        <f>Riandy!N32</f>
        <v>0</v>
      </c>
      <c r="AM10" s="187"/>
    </row>
    <row r="11" spans="1:39" x14ac:dyDescent="0.2">
      <c r="A11" s="197">
        <v>5</v>
      </c>
      <c r="B11" s="198" t="s">
        <v>522</v>
      </c>
      <c r="C11" s="200"/>
      <c r="D11" s="208" t="s">
        <v>436</v>
      </c>
      <c r="E11" s="152" t="s">
        <v>529</v>
      </c>
      <c r="F11" s="207" t="s">
        <v>148</v>
      </c>
      <c r="G11" s="197" t="s">
        <v>64</v>
      </c>
      <c r="H11" s="197"/>
      <c r="I11" s="197"/>
      <c r="J11" s="209"/>
      <c r="K11" s="209"/>
      <c r="L11" s="210"/>
      <c r="M11" s="175">
        <f>'Abdul Muis'!C17</f>
        <v>0</v>
      </c>
      <c r="N11" s="175">
        <f>'Abdul Muis'!C32</f>
        <v>0</v>
      </c>
      <c r="O11" s="175">
        <f>'Abdul Muis'!D17</f>
        <v>0</v>
      </c>
      <c r="P11" s="175">
        <f>'Abdul Muis'!D32</f>
        <v>0</v>
      </c>
      <c r="Q11" s="175">
        <f>'Abdul Muis'!E17</f>
        <v>0</v>
      </c>
      <c r="R11" s="175">
        <f>'Abdul Muis'!E32</f>
        <v>0</v>
      </c>
      <c r="S11" s="175">
        <f>'Abdul Muis'!F17</f>
        <v>0</v>
      </c>
      <c r="T11" s="175">
        <f>'Abdul Muis'!F32</f>
        <v>0</v>
      </c>
      <c r="U11" s="175">
        <f>'Abdul Muis'!P16</f>
        <v>0</v>
      </c>
      <c r="V11" s="175">
        <f>'Abdul Muis'!P33</f>
        <v>0</v>
      </c>
      <c r="W11" s="175">
        <f>'Abdul Muis'!G17</f>
        <v>0</v>
      </c>
      <c r="X11" s="175">
        <f>'Abdul Muis'!G32</f>
        <v>0</v>
      </c>
      <c r="Y11" s="175">
        <f>'Abdul Muis'!H17</f>
        <v>0</v>
      </c>
      <c r="Z11" s="175">
        <f>'Abdul Muis'!H32</f>
        <v>0</v>
      </c>
      <c r="AA11" s="175">
        <f>'Abdul Muis'!I17</f>
        <v>0</v>
      </c>
      <c r="AB11" s="175">
        <f>'Abdul Muis'!I32</f>
        <v>0</v>
      </c>
      <c r="AC11" s="175">
        <f>'Abdul Muis'!J17</f>
        <v>0</v>
      </c>
      <c r="AD11" s="175">
        <f>'Abdul Muis'!J32</f>
        <v>0</v>
      </c>
      <c r="AE11" s="175">
        <f>'Abdul Muis'!K17</f>
        <v>0</v>
      </c>
      <c r="AF11" s="175">
        <f>'Abdul Muis'!K32</f>
        <v>0</v>
      </c>
      <c r="AG11" s="175">
        <f>'Abdul Muis'!L17</f>
        <v>0</v>
      </c>
      <c r="AH11" s="175">
        <f>'Abdul Muis'!L32</f>
        <v>0</v>
      </c>
      <c r="AI11" s="175">
        <f>'Abdul Muis'!M17</f>
        <v>0</v>
      </c>
      <c r="AJ11" s="175">
        <f>'Abdul Muis'!M32</f>
        <v>0</v>
      </c>
      <c r="AK11" s="175">
        <f>'Abdul Muis'!N17</f>
        <v>0</v>
      </c>
      <c r="AL11" s="175">
        <f>'Abdul Muis'!N32</f>
        <v>0</v>
      </c>
      <c r="AM11" s="187"/>
    </row>
    <row r="12" spans="1:39" x14ac:dyDescent="0.2">
      <c r="A12" s="197">
        <v>6</v>
      </c>
      <c r="B12" s="198" t="s">
        <v>522</v>
      </c>
      <c r="C12" s="200" t="s">
        <v>112</v>
      </c>
      <c r="D12" s="200" t="s">
        <v>90</v>
      </c>
      <c r="E12" s="152" t="s">
        <v>529</v>
      </c>
      <c r="F12" s="197" t="s">
        <v>116</v>
      </c>
      <c r="G12" s="197" t="s">
        <v>67</v>
      </c>
      <c r="H12" s="211"/>
      <c r="I12" s="202"/>
      <c r="J12" s="212" t="s">
        <v>512</v>
      </c>
      <c r="K12" s="209" t="s">
        <v>469</v>
      </c>
      <c r="L12" s="197"/>
      <c r="M12" s="175">
        <f>'Adelia Reztiar Marlen'!C21</f>
        <v>3000000</v>
      </c>
      <c r="N12" s="175">
        <f>'Adelia Reztiar Marlen'!C36</f>
        <v>0</v>
      </c>
      <c r="O12" s="175">
        <f>'Adelia Reztiar Marlen'!D21</f>
        <v>3000000</v>
      </c>
      <c r="P12" s="175">
        <f>'Adelia Reztiar Marlen'!D36</f>
        <v>0</v>
      </c>
      <c r="Q12" s="175">
        <f>'Adelia Reztiar Marlen'!E21</f>
        <v>3000000</v>
      </c>
      <c r="R12" s="175">
        <f>'Adelia Reztiar Marlen'!E36</f>
        <v>0</v>
      </c>
      <c r="S12" s="175">
        <f>'Adelia Reztiar Marlen'!F21</f>
        <v>3000000</v>
      </c>
      <c r="T12" s="175">
        <f>'Adelia Reztiar Marlen'!F36</f>
        <v>0</v>
      </c>
      <c r="U12" s="175">
        <f>'Adelia Reztiar Marlen'!P20</f>
        <v>3000000</v>
      </c>
      <c r="V12" s="175">
        <f>'Adelia Reztiar Marlen'!P37</f>
        <v>0</v>
      </c>
      <c r="W12" s="175">
        <f>'Adelia Reztiar Marlen'!G21</f>
        <v>3000000</v>
      </c>
      <c r="X12" s="175">
        <f>'Adelia Reztiar Marlen'!G36</f>
        <v>0</v>
      </c>
      <c r="Y12" s="175">
        <f>'Adelia Reztiar Marlen'!H21</f>
        <v>3050000</v>
      </c>
      <c r="Z12" s="175">
        <f>'Adelia Reztiar Marlen'!H36</f>
        <v>0</v>
      </c>
      <c r="AA12" s="175">
        <f>'Adelia Reztiar Marlen'!I21</f>
        <v>3050000</v>
      </c>
      <c r="AB12" s="175">
        <f>'Adelia Reztiar Marlen'!I36</f>
        <v>0</v>
      </c>
      <c r="AC12" s="175">
        <f>'Adelia Reztiar Marlen'!J21</f>
        <v>3100000</v>
      </c>
      <c r="AD12" s="175">
        <f>'Adelia Reztiar Marlen'!J36</f>
        <v>0</v>
      </c>
      <c r="AE12" s="175">
        <f>'Adelia Reztiar Marlen'!K21</f>
        <v>3100000</v>
      </c>
      <c r="AF12" s="175">
        <f>'Adelia Reztiar Marlen'!K36</f>
        <v>0</v>
      </c>
      <c r="AG12" s="175">
        <f>'Adelia Reztiar Marlen'!L21</f>
        <v>3100000</v>
      </c>
      <c r="AH12" s="175">
        <f>'Adelia Reztiar Marlen'!L36</f>
        <v>0</v>
      </c>
      <c r="AI12" s="175">
        <f>'Adelia Reztiar Marlen'!M21</f>
        <v>3050000</v>
      </c>
      <c r="AJ12" s="175">
        <f>'Adelia Reztiar Marlen'!M36</f>
        <v>0</v>
      </c>
      <c r="AK12" s="175">
        <f>'Adelia Reztiar Marlen'!N21</f>
        <v>3100000</v>
      </c>
      <c r="AL12" s="175">
        <f>'Adelia Reztiar Marlen'!N36</f>
        <v>0</v>
      </c>
      <c r="AM12" s="187"/>
    </row>
    <row r="13" spans="1:39" x14ac:dyDescent="0.2">
      <c r="A13" s="197">
        <v>7</v>
      </c>
      <c r="B13" s="198" t="s">
        <v>522</v>
      </c>
      <c r="C13" s="200" t="s">
        <v>123</v>
      </c>
      <c r="D13" s="200" t="s">
        <v>124</v>
      </c>
      <c r="E13" s="152" t="s">
        <v>529</v>
      </c>
      <c r="F13" s="179" t="s">
        <v>116</v>
      </c>
      <c r="G13" s="197" t="s">
        <v>67</v>
      </c>
      <c r="H13" s="211"/>
      <c r="I13" s="202"/>
      <c r="J13" s="212" t="s">
        <v>498</v>
      </c>
      <c r="K13" s="209" t="s">
        <v>470</v>
      </c>
      <c r="L13" s="213" t="s">
        <v>446</v>
      </c>
      <c r="M13" s="175">
        <f>'Agri Chairunisa Isradjuningtias'!C17</f>
        <v>0</v>
      </c>
      <c r="N13" s="175">
        <f>'Agri Chairunisa Isradjuningtias'!C32</f>
        <v>0</v>
      </c>
      <c r="O13" s="175">
        <f>'Agri Chairunisa Isradjuningtias'!D17</f>
        <v>0</v>
      </c>
      <c r="P13" s="175">
        <f>'Agri Chairunisa Isradjuningtias'!D32</f>
        <v>0</v>
      </c>
      <c r="Q13" s="175">
        <f>'Agri Chairunisa Isradjuningtias'!E17</f>
        <v>0</v>
      </c>
      <c r="R13" s="175">
        <f>'Agri Chairunisa Isradjuningtias'!E32</f>
        <v>0</v>
      </c>
      <c r="S13" s="175">
        <f>'Agri Chairunisa Isradjuningtias'!F17</f>
        <v>0</v>
      </c>
      <c r="T13" s="175">
        <f>'Agri Chairunisa Isradjuningtias'!F32</f>
        <v>0</v>
      </c>
      <c r="U13" s="175">
        <f>'Agri Chairunisa Isradjuningtias'!P16</f>
        <v>0</v>
      </c>
      <c r="V13" s="175">
        <f>'Agri Chairunisa Isradjuningtias'!P33</f>
        <v>0</v>
      </c>
      <c r="W13" s="175">
        <f>'Agri Chairunisa Isradjuningtias'!G17</f>
        <v>0</v>
      </c>
      <c r="X13" s="175">
        <f>'Agri Chairunisa Isradjuningtias'!G32</f>
        <v>0</v>
      </c>
      <c r="Y13" s="175">
        <f>'Agri Chairunisa Isradjuningtias'!H17</f>
        <v>0</v>
      </c>
      <c r="Z13" s="175">
        <f>'Agri Chairunisa Isradjuningtias'!H32</f>
        <v>0</v>
      </c>
      <c r="AA13" s="175">
        <f>'Agri Chairunisa Isradjuningtias'!I17</f>
        <v>0</v>
      </c>
      <c r="AB13" s="175">
        <f>'Agri Chairunisa Isradjuningtias'!I32</f>
        <v>0</v>
      </c>
      <c r="AC13" s="175">
        <f>'Agri Chairunisa Isradjuningtias'!J17</f>
        <v>0</v>
      </c>
      <c r="AD13" s="175">
        <f>'Agri Chairunisa Isradjuningtias'!J32</f>
        <v>0</v>
      </c>
      <c r="AE13" s="175">
        <f>'Agri Chairunisa Isradjuningtias'!K17</f>
        <v>0</v>
      </c>
      <c r="AF13" s="175">
        <f>'Agri Chairunisa Isradjuningtias'!K32</f>
        <v>0</v>
      </c>
      <c r="AG13" s="175">
        <f>'Agri Chairunisa Isradjuningtias'!L17</f>
        <v>0</v>
      </c>
      <c r="AH13" s="175">
        <f>'Agri Chairunisa Isradjuningtias'!L32</f>
        <v>0</v>
      </c>
      <c r="AI13" s="175">
        <f>'Agri Chairunisa Isradjuningtias'!M17</f>
        <v>0</v>
      </c>
      <c r="AJ13" s="175">
        <f>'Agri Chairunisa Isradjuningtias'!M32</f>
        <v>0</v>
      </c>
      <c r="AK13" s="175">
        <f>'Agri Chairunisa Isradjuningtias'!N17</f>
        <v>0</v>
      </c>
      <c r="AL13" s="175">
        <f>'Agri Chairunisa Isradjuningtias'!N32</f>
        <v>0</v>
      </c>
      <c r="AM13" s="187"/>
    </row>
    <row r="14" spans="1:39" x14ac:dyDescent="0.2">
      <c r="A14" s="197">
        <v>8</v>
      </c>
      <c r="B14" s="198" t="s">
        <v>522</v>
      </c>
      <c r="C14" s="200"/>
      <c r="D14" s="178" t="s">
        <v>440</v>
      </c>
      <c r="E14" s="152" t="s">
        <v>529</v>
      </c>
      <c r="F14" s="211" t="s">
        <v>148</v>
      </c>
      <c r="G14" s="197" t="s">
        <v>64</v>
      </c>
      <c r="H14" s="197"/>
      <c r="I14" s="197"/>
      <c r="J14" s="212"/>
      <c r="K14" s="212" t="s">
        <v>481</v>
      </c>
      <c r="L14" s="197"/>
      <c r="M14" s="175">
        <f>'Aldian Kahfi'!C21</f>
        <v>5000000</v>
      </c>
      <c r="N14" s="175">
        <f>'Aldian Kahfi'!C36</f>
        <v>0</v>
      </c>
      <c r="O14" s="175">
        <f>'Aldian Kahfi'!D21</f>
        <v>5000000</v>
      </c>
      <c r="P14" s="175">
        <f>'Aldian Kahfi'!D36</f>
        <v>0</v>
      </c>
      <c r="Q14" s="175">
        <f>'Aldian Kahfi'!E21</f>
        <v>5000000</v>
      </c>
      <c r="R14" s="175">
        <f>'Aldian Kahfi'!E36</f>
        <v>0</v>
      </c>
      <c r="S14" s="175">
        <f>'Aldian Kahfi'!F21</f>
        <v>5000000</v>
      </c>
      <c r="T14" s="175">
        <f>'Aldian Kahfi'!F36</f>
        <v>0</v>
      </c>
      <c r="U14" s="175">
        <f>'Aldian Kahfi'!P20</f>
        <v>5000000</v>
      </c>
      <c r="V14" s="175">
        <f>'Aldian Kahfi'!P37</f>
        <v>0</v>
      </c>
      <c r="W14" s="175">
        <f>'Aldian Kahfi'!G21</f>
        <v>5000000</v>
      </c>
      <c r="X14" s="175">
        <f>'Aldian Kahfi'!G36</f>
        <v>0</v>
      </c>
      <c r="Y14" s="175">
        <f>'Aldian Kahfi'!H21</f>
        <v>5000000</v>
      </c>
      <c r="Z14" s="175">
        <f>'Aldian Kahfi'!H36</f>
        <v>0</v>
      </c>
      <c r="AA14" s="175">
        <f>'Aldian Kahfi'!I21</f>
        <v>5000000</v>
      </c>
      <c r="AB14" s="175">
        <f>'Aldian Kahfi'!I36</f>
        <v>0</v>
      </c>
      <c r="AC14" s="175">
        <f>'Aldian Kahfi'!J21</f>
        <v>5000000</v>
      </c>
      <c r="AD14" s="175">
        <f>'Aldian Kahfi'!J36</f>
        <v>0</v>
      </c>
      <c r="AE14" s="175">
        <f>'Aldian Kahfi'!K21</f>
        <v>5000000</v>
      </c>
      <c r="AF14" s="175">
        <f>'Aldian Kahfi'!K36</f>
        <v>0</v>
      </c>
      <c r="AG14" s="175">
        <f>'Aldian Kahfi'!L21</f>
        <v>5000000</v>
      </c>
      <c r="AH14" s="175">
        <f>'Aldian Kahfi'!L36</f>
        <v>0</v>
      </c>
      <c r="AI14" s="175">
        <f>'Aldian Kahfi'!M21</f>
        <v>5000000</v>
      </c>
      <c r="AJ14" s="175">
        <f>'Aldian Kahfi'!M36</f>
        <v>0</v>
      </c>
      <c r="AK14" s="175">
        <f>'Aldian Kahfi'!N21</f>
        <v>4500000</v>
      </c>
      <c r="AL14" s="175">
        <f>'Aldian Kahfi'!N36</f>
        <v>0</v>
      </c>
      <c r="AM14" s="187"/>
    </row>
    <row r="15" spans="1:39" x14ac:dyDescent="0.2">
      <c r="A15" s="197">
        <v>9</v>
      </c>
      <c r="B15" s="198" t="s">
        <v>522</v>
      </c>
      <c r="C15" s="198" t="s">
        <v>562</v>
      </c>
      <c r="D15" s="200" t="s">
        <v>135</v>
      </c>
      <c r="E15" s="153" t="s">
        <v>529</v>
      </c>
      <c r="F15" s="197" t="s">
        <v>116</v>
      </c>
      <c r="G15" s="197" t="s">
        <v>67</v>
      </c>
      <c r="H15" s="201"/>
      <c r="I15" s="202"/>
      <c r="J15" s="212" t="s">
        <v>499</v>
      </c>
      <c r="K15" s="212" t="s">
        <v>472</v>
      </c>
      <c r="L15" s="197"/>
      <c r="M15" s="175">
        <f>'Andriana Kusumawati'!C21</f>
        <v>4000000</v>
      </c>
      <c r="N15" s="175">
        <f>'Andriana Kusumawati'!C36</f>
        <v>0</v>
      </c>
      <c r="O15" s="175">
        <f>'Andriana Kusumawati'!D21</f>
        <v>4000000</v>
      </c>
      <c r="P15" s="175">
        <f>'Andriana Kusumawati'!D36</f>
        <v>0</v>
      </c>
      <c r="Q15" s="175">
        <f>'Andriana Kusumawati'!E21</f>
        <v>4000000</v>
      </c>
      <c r="R15" s="175">
        <f>'Andriana Kusumawati'!E36</f>
        <v>0</v>
      </c>
      <c r="S15" s="175">
        <f>'Andriana Kusumawati'!F21</f>
        <v>4000000</v>
      </c>
      <c r="T15" s="175">
        <f>'Andriana Kusumawati'!F36</f>
        <v>0</v>
      </c>
      <c r="U15" s="175">
        <f>'Andriana Kusumawati'!P20</f>
        <v>2000000</v>
      </c>
      <c r="V15" s="175">
        <f>'Andriana Kusumawati'!P37</f>
        <v>0</v>
      </c>
      <c r="W15" s="175">
        <f>'Andriana Kusumawati'!G21</f>
        <v>4000000</v>
      </c>
      <c r="X15" s="175">
        <f>'Andriana Kusumawati'!G36</f>
        <v>0</v>
      </c>
      <c r="Y15" s="175">
        <f>'Andriana Kusumawati'!H21</f>
        <v>4000000</v>
      </c>
      <c r="Z15" s="175">
        <f>'Andriana Kusumawati'!H36</f>
        <v>0</v>
      </c>
      <c r="AA15" s="175">
        <f>'Andriana Kusumawati'!I21</f>
        <v>4000000</v>
      </c>
      <c r="AB15" s="175">
        <f>'Andriana Kusumawati'!I36</f>
        <v>0</v>
      </c>
      <c r="AC15" s="175">
        <f>'Andriana Kusumawati'!J21</f>
        <v>4000000</v>
      </c>
      <c r="AD15" s="175">
        <f>'Andriana Kusumawati'!J36</f>
        <v>0</v>
      </c>
      <c r="AE15" s="175">
        <f>'Andriana Kusumawati'!K21</f>
        <v>4000000</v>
      </c>
      <c r="AF15" s="175">
        <f>'Andriana Kusumawati'!K36</f>
        <v>0</v>
      </c>
      <c r="AG15" s="175">
        <f>'Andriana Kusumawati'!L21</f>
        <v>4707000</v>
      </c>
      <c r="AH15" s="175">
        <f>'Andriana Kusumawati'!L36</f>
        <v>0</v>
      </c>
      <c r="AI15" s="175">
        <f>'Andriana Kusumawati'!M21</f>
        <v>4000000</v>
      </c>
      <c r="AJ15" s="175">
        <f>'Andriana Kusumawati'!M36</f>
        <v>0</v>
      </c>
      <c r="AK15" s="175">
        <f>'Andriana Kusumawati'!N21</f>
        <v>4000000</v>
      </c>
      <c r="AL15" s="175">
        <f>'Andriana Kusumawati'!N36</f>
        <v>0</v>
      </c>
      <c r="AM15" s="187"/>
    </row>
    <row r="16" spans="1:39" x14ac:dyDescent="0.2">
      <c r="A16" s="197">
        <v>10</v>
      </c>
      <c r="B16" s="198" t="s">
        <v>522</v>
      </c>
      <c r="C16" s="200" t="s">
        <v>143</v>
      </c>
      <c r="D16" s="200" t="s">
        <v>144</v>
      </c>
      <c r="E16" s="153" t="s">
        <v>529</v>
      </c>
      <c r="F16" s="179" t="s">
        <v>148</v>
      </c>
      <c r="G16" s="197" t="s">
        <v>64</v>
      </c>
      <c r="H16" s="201"/>
      <c r="I16" s="202"/>
      <c r="J16" s="212" t="s">
        <v>493</v>
      </c>
      <c r="K16" s="212" t="s">
        <v>466</v>
      </c>
      <c r="L16" s="213" t="s">
        <v>446</v>
      </c>
      <c r="M16" s="175">
        <f>Ardiansyah!C21</f>
        <v>7300000</v>
      </c>
      <c r="N16" s="175">
        <f>Ardiansyah!C36</f>
        <v>56100</v>
      </c>
      <c r="O16" s="175">
        <f>Ardiansyah!D21</f>
        <v>5950000</v>
      </c>
      <c r="P16" s="175">
        <f>Ardiansyah!D36</f>
        <v>-20850</v>
      </c>
      <c r="Q16" s="175">
        <f>Ardiansyah!E21</f>
        <v>0</v>
      </c>
      <c r="R16" s="175">
        <f>Ardiansyah!E36</f>
        <v>-35250</v>
      </c>
      <c r="S16" s="175">
        <f>Ardiansyah!F21</f>
        <v>0</v>
      </c>
      <c r="T16" s="176">
        <f>Ardiansyah!F36</f>
        <v>0</v>
      </c>
      <c r="U16" s="176">
        <f>Ardiansyah!P20</f>
        <v>0</v>
      </c>
      <c r="V16" s="176">
        <f>Ardiansyah!P37</f>
        <v>0</v>
      </c>
      <c r="W16" s="176">
        <f>Ardiansyah!G21</f>
        <v>0</v>
      </c>
      <c r="X16" s="176">
        <f>Ardiansyah!Q36</f>
        <v>0</v>
      </c>
      <c r="Y16" s="176">
        <f>Ardiansyah!H21</f>
        <v>0</v>
      </c>
      <c r="Z16" s="176">
        <f>Ardiansyah!H36</f>
        <v>0</v>
      </c>
      <c r="AA16" s="176">
        <f>Ardiansyah!I21</f>
        <v>0</v>
      </c>
      <c r="AB16" s="176">
        <f>Ardiansyah!I36</f>
        <v>0</v>
      </c>
      <c r="AC16" s="176">
        <f>Ardiansyah!J21</f>
        <v>0</v>
      </c>
      <c r="AD16" s="176">
        <f>Ardiansyah!J36</f>
        <v>0</v>
      </c>
      <c r="AE16" s="176">
        <f>Ardiansyah!K21</f>
        <v>0</v>
      </c>
      <c r="AF16" s="176">
        <f>Ardiansyah!K36</f>
        <v>0</v>
      </c>
      <c r="AG16" s="176">
        <f>Ardiansyah!L21</f>
        <v>0</v>
      </c>
      <c r="AH16" s="176">
        <f>Ardiansyah!L36</f>
        <v>0</v>
      </c>
      <c r="AI16" s="176">
        <f>Ardiansyah!M21</f>
        <v>0</v>
      </c>
      <c r="AJ16" s="176">
        <f>Ardiansyah!M36</f>
        <v>0</v>
      </c>
      <c r="AK16" s="176">
        <f>Ardiansyah!N21</f>
        <v>0</v>
      </c>
      <c r="AL16" s="176">
        <f>Ardiansyah!N36</f>
        <v>0</v>
      </c>
      <c r="AM16" s="187"/>
    </row>
    <row r="17" spans="1:39" x14ac:dyDescent="0.2">
      <c r="A17" s="197">
        <v>11</v>
      </c>
      <c r="B17" s="198" t="s">
        <v>522</v>
      </c>
      <c r="C17" s="200"/>
      <c r="D17" s="178" t="s">
        <v>455</v>
      </c>
      <c r="E17" s="152" t="s">
        <v>529</v>
      </c>
      <c r="F17" s="211" t="s">
        <v>148</v>
      </c>
      <c r="G17" s="197" t="s">
        <v>64</v>
      </c>
      <c r="H17" s="214"/>
      <c r="I17" s="197"/>
      <c r="J17" s="212"/>
      <c r="K17" s="212" t="s">
        <v>471</v>
      </c>
      <c r="L17" s="197"/>
      <c r="M17" s="175">
        <f>'Arif Awangga'!C21</f>
        <v>3200000</v>
      </c>
      <c r="N17" s="175">
        <f>'Arif Awangga'!C36</f>
        <v>0</v>
      </c>
      <c r="O17" s="175">
        <f>'Arif Awangga'!D21</f>
        <v>2000000</v>
      </c>
      <c r="P17" s="175">
        <f>'Arif Awangga'!D36</f>
        <v>0</v>
      </c>
      <c r="Q17" s="175">
        <f>'Arif Awangga'!E21</f>
        <v>9795000</v>
      </c>
      <c r="R17" s="175">
        <f>'Arif Awangga'!E36</f>
        <v>0</v>
      </c>
      <c r="S17" s="175">
        <f>'Arif Awangga'!F21</f>
        <v>2000000</v>
      </c>
      <c r="T17" s="175">
        <f>'Arif Awangga'!F36</f>
        <v>0</v>
      </c>
      <c r="U17" s="175">
        <f>'Arif Awangga'!P20</f>
        <v>2000000</v>
      </c>
      <c r="V17" s="175">
        <f>'Arif Awangga'!P37</f>
        <v>0</v>
      </c>
      <c r="W17" s="175">
        <f>'Arif Awangga'!G21</f>
        <v>7125000</v>
      </c>
      <c r="X17" s="175">
        <f>'Arif Awangga'!G36</f>
        <v>0</v>
      </c>
      <c r="Y17" s="175">
        <f>'Arif Awangga'!H21</f>
        <v>2000000</v>
      </c>
      <c r="Z17" s="175">
        <f>'Arif Awangga'!H36</f>
        <v>0</v>
      </c>
      <c r="AA17" s="175">
        <f>'Arif Awangga'!I21</f>
        <v>0</v>
      </c>
      <c r="AB17" s="175">
        <f>'Arif Awangga'!I36</f>
        <v>0</v>
      </c>
      <c r="AC17" s="175">
        <f>'Arif Awangga'!J21</f>
        <v>2850000</v>
      </c>
      <c r="AD17" s="175">
        <f>'Arif Awangga'!J36</f>
        <v>0</v>
      </c>
      <c r="AE17" s="175">
        <f>'Arif Awangga'!K21</f>
        <v>2405000</v>
      </c>
      <c r="AF17" s="175">
        <f>'Arif Awangga'!K36</f>
        <v>0</v>
      </c>
      <c r="AG17" s="175">
        <f>'Arif Awangga'!L21</f>
        <v>3750000</v>
      </c>
      <c r="AH17" s="175">
        <f>'Arif Awangga'!L36</f>
        <v>0</v>
      </c>
      <c r="AI17" s="175">
        <f>'Arif Awangga'!M21</f>
        <v>0</v>
      </c>
      <c r="AJ17" s="175">
        <f>'Arif Awangga'!M36</f>
        <v>0</v>
      </c>
      <c r="AK17" s="175">
        <f>'Arif Awangga'!N21</f>
        <v>0</v>
      </c>
      <c r="AL17" s="175">
        <f>'Arif Awangga'!N36</f>
        <v>0</v>
      </c>
      <c r="AM17" s="187"/>
    </row>
    <row r="18" spans="1:39" x14ac:dyDescent="0.2">
      <c r="A18" s="197">
        <v>12</v>
      </c>
      <c r="B18" s="198" t="s">
        <v>522</v>
      </c>
      <c r="C18" s="198" t="s">
        <v>154</v>
      </c>
      <c r="D18" s="200" t="s">
        <v>155</v>
      </c>
      <c r="E18" s="152" t="s">
        <v>529</v>
      </c>
      <c r="F18" s="179" t="s">
        <v>148</v>
      </c>
      <c r="G18" s="197" t="s">
        <v>64</v>
      </c>
      <c r="H18" s="201"/>
      <c r="I18" s="202"/>
      <c r="J18" s="212" t="s">
        <v>488</v>
      </c>
      <c r="K18" s="212" t="s">
        <v>460</v>
      </c>
      <c r="L18" s="213" t="s">
        <v>446</v>
      </c>
      <c r="M18" s="175">
        <f>'Arrum Budi Leksono'!C21</f>
        <v>7000000</v>
      </c>
      <c r="N18" s="175">
        <f>'Arrum Budi Leksono'!C36</f>
        <v>32500</v>
      </c>
      <c r="O18" s="175">
        <f>'Arrum Budi Leksono'!D21</f>
        <v>8250000</v>
      </c>
      <c r="P18" s="175">
        <f>'Arrum Budi Leksono'!D36</f>
        <v>91875</v>
      </c>
      <c r="Q18" s="175">
        <f>'Arrum Budi Leksono'!E21</f>
        <v>10855000</v>
      </c>
      <c r="R18" s="175">
        <f>'Arrum Budi Leksono'!E36</f>
        <v>217750</v>
      </c>
      <c r="S18" s="175">
        <f>'Arrum Budi Leksono'!F21</f>
        <v>8250000</v>
      </c>
      <c r="T18" s="176">
        <f>'Arrum Budi Leksono'!F36</f>
        <v>91875</v>
      </c>
      <c r="U18" s="176">
        <f>'Arrum Budi Leksono'!P20</f>
        <v>5000000</v>
      </c>
      <c r="V18" s="176">
        <f>'Arrum Budi Leksono'!P37</f>
        <v>237500</v>
      </c>
      <c r="W18" s="176">
        <f>'Arrum Budi Leksono'!G21</f>
        <v>7625000</v>
      </c>
      <c r="X18" s="176">
        <f>'Arrum Budi Leksono'!G36</f>
        <v>62187.5</v>
      </c>
      <c r="Y18" s="176">
        <f>'Arrum Budi Leksono'!H21</f>
        <v>7000000</v>
      </c>
      <c r="Z18" s="176">
        <f>'Arrum Budi Leksono'!H36</f>
        <v>32487.5</v>
      </c>
      <c r="AA18" s="176">
        <f>'Arrum Budi Leksono'!I21</f>
        <v>7000000</v>
      </c>
      <c r="AB18" s="176">
        <f>'Arrum Budi Leksono'!I36</f>
        <v>32491.666666666744</v>
      </c>
      <c r="AC18" s="176">
        <f>'Arrum Budi Leksono'!J21</f>
        <v>9275000</v>
      </c>
      <c r="AD18" s="176">
        <f>'Arrum Budi Leksono'!J36</f>
        <v>140566.66666666663</v>
      </c>
      <c r="AE18" s="176">
        <f>'Arrum Budi Leksono'!K21</f>
        <v>10490000</v>
      </c>
      <c r="AF18" s="176">
        <f>'Arrum Budi Leksono'!K36</f>
        <v>199504.16666666663</v>
      </c>
      <c r="AG18" s="176">
        <f>'Arrum Budi Leksono'!L21</f>
        <v>7625000</v>
      </c>
      <c r="AH18" s="176">
        <f>'Arrum Budi Leksono'!L36</f>
        <v>62179.166666666744</v>
      </c>
      <c r="AI18" s="176">
        <f>'Arrum Budi Leksono'!M21</f>
        <v>7000000</v>
      </c>
      <c r="AJ18" s="176">
        <f>'Arrum Budi Leksono'!M36</f>
        <v>32495.833333333256</v>
      </c>
      <c r="AK18" s="176">
        <f>'Arrum Budi Leksono'!N21</f>
        <v>7000000</v>
      </c>
      <c r="AL18" s="176">
        <f>'Arrum Budi Leksono'!N36</f>
        <v>266637.5</v>
      </c>
      <c r="AM18" s="187"/>
    </row>
    <row r="19" spans="1:39" x14ac:dyDescent="0.2">
      <c r="A19" s="197">
        <v>13</v>
      </c>
      <c r="B19" s="198" t="s">
        <v>522</v>
      </c>
      <c r="C19" s="198" t="s">
        <v>537</v>
      </c>
      <c r="D19" s="178" t="s">
        <v>542</v>
      </c>
      <c r="E19" s="152" t="s">
        <v>529</v>
      </c>
      <c r="F19" s="211" t="s">
        <v>116</v>
      </c>
      <c r="G19" s="197" t="s">
        <v>67</v>
      </c>
      <c r="H19" s="214">
        <v>44228</v>
      </c>
      <c r="I19" s="197"/>
      <c r="J19" s="203" t="s">
        <v>543</v>
      </c>
      <c r="K19" s="212" t="s">
        <v>544</v>
      </c>
      <c r="L19" s="197"/>
      <c r="M19" s="175">
        <f>'Bella Tri Cahyani'!C21</f>
        <v>3000000</v>
      </c>
      <c r="N19" s="175">
        <f>'Bella Tri Cahyani'!C36</f>
        <v>0</v>
      </c>
      <c r="O19" s="175">
        <f>'Bella Tri Cahyani'!D21</f>
        <v>3000000</v>
      </c>
      <c r="P19" s="175">
        <f>'Bella Tri Cahyani'!D36</f>
        <v>0</v>
      </c>
      <c r="Q19" s="175">
        <f>'Bella Tri Cahyani'!E21</f>
        <v>3000000</v>
      </c>
      <c r="R19" s="175">
        <f>'Bella Tri Cahyani'!E36</f>
        <v>0</v>
      </c>
      <c r="S19" s="175">
        <f>'Bella Tri Cahyani'!F21</f>
        <v>0</v>
      </c>
      <c r="T19" s="175">
        <f>'Bella Tri Cahyani'!F36</f>
        <v>0</v>
      </c>
      <c r="U19" s="175">
        <f>'Bella Tri Cahyani'!P20</f>
        <v>0</v>
      </c>
      <c r="V19" s="175">
        <f>'Bella Tri Cahyani'!P37</f>
        <v>0</v>
      </c>
      <c r="W19" s="175">
        <f>'Bella Tri Cahyani'!G21</f>
        <v>0</v>
      </c>
      <c r="X19" s="175">
        <f>'Bella Tri Cahyani'!G36</f>
        <v>0</v>
      </c>
      <c r="Y19" s="175">
        <f>'Bella Tri Cahyani'!H21</f>
        <v>0</v>
      </c>
      <c r="Z19" s="175">
        <f>'Bella Tri Cahyani'!H36</f>
        <v>0</v>
      </c>
      <c r="AA19" s="175">
        <f>'Bella Tri Cahyani'!I21</f>
        <v>0</v>
      </c>
      <c r="AB19" s="175">
        <f>'Bella Tri Cahyani'!I36</f>
        <v>0</v>
      </c>
      <c r="AC19" s="175">
        <f>'Bella Tri Cahyani'!J21</f>
        <v>0</v>
      </c>
      <c r="AD19" s="175">
        <f>'Bella Tri Cahyani'!J36</f>
        <v>0</v>
      </c>
      <c r="AE19" s="175">
        <f>'Bella Tri Cahyani'!K21</f>
        <v>0</v>
      </c>
      <c r="AF19" s="175">
        <f>'Bella Tri Cahyani'!K36</f>
        <v>0</v>
      </c>
      <c r="AG19" s="175">
        <f>'Bella Tri Cahyani'!L21</f>
        <v>0</v>
      </c>
      <c r="AH19" s="175">
        <f>'Bella Tri Cahyani'!L36</f>
        <v>0</v>
      </c>
      <c r="AI19" s="175">
        <f>'Bella Tri Cahyani'!M21</f>
        <v>0</v>
      </c>
      <c r="AJ19" s="175">
        <f>'Bella Tri Cahyani'!M36</f>
        <v>0</v>
      </c>
      <c r="AK19" s="175">
        <f>'Bella Tri Cahyani'!N21</f>
        <v>0</v>
      </c>
      <c r="AL19" s="175">
        <f>'Bella Tri Cahyani'!N36</f>
        <v>0</v>
      </c>
      <c r="AM19" s="187"/>
    </row>
    <row r="20" spans="1:39" x14ac:dyDescent="0.2">
      <c r="A20" s="197">
        <v>14</v>
      </c>
      <c r="B20" s="198" t="s">
        <v>522</v>
      </c>
      <c r="C20" s="200" t="s">
        <v>163</v>
      </c>
      <c r="D20" s="200" t="s">
        <v>432</v>
      </c>
      <c r="E20" s="152" t="s">
        <v>529</v>
      </c>
      <c r="F20" s="179" t="s">
        <v>116</v>
      </c>
      <c r="G20" s="197" t="s">
        <v>67</v>
      </c>
      <c r="H20" s="201"/>
      <c r="I20" s="202"/>
      <c r="J20" s="212" t="s">
        <v>505</v>
      </c>
      <c r="K20" s="212" t="s">
        <v>165</v>
      </c>
      <c r="L20" s="197"/>
      <c r="M20" s="175">
        <f>'Devi Tri Indriyani'!C21</f>
        <v>4000000</v>
      </c>
      <c r="N20" s="175">
        <f>'Devi Tri Indriyani'!C36</f>
        <v>0</v>
      </c>
      <c r="O20" s="175">
        <f>'Devi Tri Indriyani'!D21</f>
        <v>4000000</v>
      </c>
      <c r="P20" s="175">
        <f>'Devi Tri Indriyani'!D36</f>
        <v>0</v>
      </c>
      <c r="Q20" s="175">
        <f>'Devi Tri Indriyani'!E21</f>
        <v>4000000</v>
      </c>
      <c r="R20" s="175">
        <f>'Devi Tri Indriyani'!E36</f>
        <v>0</v>
      </c>
      <c r="S20" s="175">
        <f>'Devi Tri Indriyani'!F21</f>
        <v>4000000</v>
      </c>
      <c r="T20" s="175">
        <f>'Devi Tri Indriyani'!F36</f>
        <v>0</v>
      </c>
      <c r="U20" s="175">
        <f>'Devi Tri Indriyani'!P20</f>
        <v>2000000</v>
      </c>
      <c r="V20" s="175">
        <f>'Devi Tri Indriyani'!P37</f>
        <v>0</v>
      </c>
      <c r="W20" s="175">
        <f>'Devi Tri Indriyani'!G21</f>
        <v>4000000</v>
      </c>
      <c r="X20" s="175">
        <f>Susilawati!G36</f>
        <v>0</v>
      </c>
      <c r="Y20" s="175">
        <f>'Devi Tri Indriyani'!H21</f>
        <v>4000000</v>
      </c>
      <c r="Z20" s="175">
        <f>'Devi Tri Indriyani'!H36</f>
        <v>0</v>
      </c>
      <c r="AA20" s="175">
        <f>'Devi Tri Indriyani'!I21</f>
        <v>4000000</v>
      </c>
      <c r="AB20" s="175">
        <f>'Devi Tri Indriyani'!I36</f>
        <v>0</v>
      </c>
      <c r="AC20" s="175">
        <f>'Devi Tri Indriyani'!J21</f>
        <v>4000000</v>
      </c>
      <c r="AD20" s="175">
        <f>'Devi Tri Indriyani'!J36</f>
        <v>0</v>
      </c>
      <c r="AE20" s="175">
        <f>'Devi Tri Indriyani'!K21</f>
        <v>4000000</v>
      </c>
      <c r="AF20" s="175">
        <f>'Devi Tri Indriyani'!K36</f>
        <v>0</v>
      </c>
      <c r="AG20" s="175">
        <f>'Devi Tri Indriyani'!L21</f>
        <v>4000000</v>
      </c>
      <c r="AH20" s="175">
        <f>'Devi Tri Indriyani'!L36</f>
        <v>0</v>
      </c>
      <c r="AI20" s="175">
        <f>'Devi Tri Indriyani'!M21</f>
        <v>4000000</v>
      </c>
      <c r="AJ20" s="175">
        <f>'Devi Tri Indriyani'!M36</f>
        <v>0</v>
      </c>
      <c r="AK20" s="175">
        <f>'Devi Tri Indriyani'!N21</f>
        <v>4000000</v>
      </c>
      <c r="AL20" s="175">
        <f>'Devi Tri Indriyani'!N36</f>
        <v>0</v>
      </c>
      <c r="AM20" s="187"/>
    </row>
    <row r="21" spans="1:39" x14ac:dyDescent="0.2">
      <c r="A21" s="197">
        <v>15</v>
      </c>
      <c r="B21" s="198" t="s">
        <v>522</v>
      </c>
      <c r="C21" s="198" t="s">
        <v>563</v>
      </c>
      <c r="D21" s="200" t="s">
        <v>174</v>
      </c>
      <c r="E21" s="152" t="s">
        <v>529</v>
      </c>
      <c r="F21" s="197" t="s">
        <v>116</v>
      </c>
      <c r="G21" s="197" t="s">
        <v>67</v>
      </c>
      <c r="H21" s="201"/>
      <c r="I21" s="202"/>
      <c r="J21" s="212" t="s">
        <v>506</v>
      </c>
      <c r="K21" s="212" t="s">
        <v>175</v>
      </c>
      <c r="L21" s="197"/>
      <c r="M21" s="175">
        <f>'Dewi Septiani'!C21</f>
        <v>4000000</v>
      </c>
      <c r="N21" s="175">
        <f>'Dewi Septiani'!C36</f>
        <v>0</v>
      </c>
      <c r="O21" s="175">
        <f>'Dewi Septiani'!D21</f>
        <v>4000000</v>
      </c>
      <c r="P21" s="175">
        <f>'Dewi Septiani'!D36</f>
        <v>0</v>
      </c>
      <c r="Q21" s="175">
        <f>'Dewi Septiani'!E21</f>
        <v>4000000</v>
      </c>
      <c r="R21" s="175">
        <f>'Dewi Septiani'!E36</f>
        <v>0</v>
      </c>
      <c r="S21" s="175">
        <f>'Dewi Septiani'!F21</f>
        <v>4000000</v>
      </c>
      <c r="T21" s="175">
        <f>'Dewi Septiani'!F36</f>
        <v>0</v>
      </c>
      <c r="U21" s="175">
        <f>'Dewi Septiani'!P20</f>
        <v>2000000</v>
      </c>
      <c r="V21" s="175">
        <f>'Dewi Septiani'!P37</f>
        <v>0</v>
      </c>
      <c r="W21" s="175">
        <f>'Dewi Septiani'!G21</f>
        <v>4000000</v>
      </c>
      <c r="X21" s="175">
        <f>'Dewi Septiani'!G36</f>
        <v>0</v>
      </c>
      <c r="Y21" s="175">
        <f>'Dewi Septiani'!H21</f>
        <v>4050000</v>
      </c>
      <c r="Z21" s="175">
        <f>'Dewi Septiani'!H36</f>
        <v>0</v>
      </c>
      <c r="AA21" s="175">
        <f>'Dewi Septiani'!I21</f>
        <v>4000000</v>
      </c>
      <c r="AB21" s="175">
        <f>'Dewi Septiani'!I36</f>
        <v>0</v>
      </c>
      <c r="AC21" s="175">
        <f>'Dewi Septiani'!J21</f>
        <v>6870000</v>
      </c>
      <c r="AD21" s="175">
        <f>'Dewi Septiani'!J36</f>
        <v>0</v>
      </c>
      <c r="AE21" s="175">
        <f>'Dewi Septiani'!K21</f>
        <v>4000000</v>
      </c>
      <c r="AF21" s="175">
        <f>'Dewi Septiani'!K36</f>
        <v>0</v>
      </c>
      <c r="AG21" s="175">
        <f>'Dewi Septiani'!L21</f>
        <v>4000000</v>
      </c>
      <c r="AH21" s="175">
        <f>'Dewi Septiani'!L36</f>
        <v>0</v>
      </c>
      <c r="AI21" s="175">
        <f>'Dewi Septiani'!M21</f>
        <v>4000000</v>
      </c>
      <c r="AJ21" s="175">
        <f>'Dewi Septiani'!M36</f>
        <v>0</v>
      </c>
      <c r="AK21" s="175">
        <f>'Dewi Septiani'!N21</f>
        <v>4000000</v>
      </c>
      <c r="AL21" s="175">
        <f>'Dewi Septiani'!N36</f>
        <v>0</v>
      </c>
      <c r="AM21" s="187"/>
    </row>
    <row r="22" spans="1:39" x14ac:dyDescent="0.2">
      <c r="A22" s="197">
        <v>16</v>
      </c>
      <c r="B22" s="198" t="s">
        <v>522</v>
      </c>
      <c r="C22" s="200"/>
      <c r="D22" s="178" t="s">
        <v>439</v>
      </c>
      <c r="E22" s="152" t="s">
        <v>529</v>
      </c>
      <c r="F22" s="211" t="s">
        <v>116</v>
      </c>
      <c r="G22" s="197" t="s">
        <v>67</v>
      </c>
      <c r="H22" s="197"/>
      <c r="I22" s="197"/>
      <c r="J22" s="212"/>
      <c r="K22" s="212" t="s">
        <v>482</v>
      </c>
      <c r="L22" s="197"/>
      <c r="M22" s="175">
        <f>'Dwi Yunitasari'!C21</f>
        <v>2000000</v>
      </c>
      <c r="N22" s="175">
        <f>'Dwi Yunitasari'!C36</f>
        <v>0</v>
      </c>
      <c r="O22" s="175">
        <f>'Dwi Yunitasari'!D21</f>
        <v>2000000</v>
      </c>
      <c r="P22" s="175">
        <f>'Dwi Yunitasari'!D36</f>
        <v>0</v>
      </c>
      <c r="Q22" s="175">
        <f>'Dwi Yunitasari'!E21</f>
        <v>2000000</v>
      </c>
      <c r="R22" s="175">
        <f>'Dwi Yunitasari'!E36</f>
        <v>0</v>
      </c>
      <c r="S22" s="175">
        <f>'Dwi Yunitasari'!F21</f>
        <v>2000000</v>
      </c>
      <c r="T22" s="175">
        <f>'Dwi Yunitasari'!F36</f>
        <v>0</v>
      </c>
      <c r="U22" s="175">
        <f>'Dwi Yunitasari'!P20</f>
        <v>2000000</v>
      </c>
      <c r="V22" s="175">
        <f>'Dwi Yunitasari'!P37</f>
        <v>0</v>
      </c>
      <c r="W22" s="175">
        <f>'Dwi Yunitasari'!G21</f>
        <v>2000000</v>
      </c>
      <c r="X22" s="175">
        <f>'Dwi Yunitasari'!G36</f>
        <v>0</v>
      </c>
      <c r="Y22" s="175">
        <f>'Dwi Yunitasari'!H21</f>
        <v>2000000</v>
      </c>
      <c r="Z22" s="175">
        <f>'Dwi Yunitasari'!H36</f>
        <v>0</v>
      </c>
      <c r="AA22" s="175">
        <f>'Dwi Yunitasari'!I21</f>
        <v>2000000</v>
      </c>
      <c r="AB22" s="175">
        <f>'Dwi Yunitasari'!I36</f>
        <v>0</v>
      </c>
      <c r="AC22" s="175">
        <f>'Dwi Yunitasari'!J21</f>
        <v>2000000</v>
      </c>
      <c r="AD22" s="175">
        <f>'Dwi Yunitasari'!J36</f>
        <v>0</v>
      </c>
      <c r="AE22" s="175">
        <f>'Dwi Yunitasari'!K21</f>
        <v>2000000</v>
      </c>
      <c r="AF22" s="175">
        <f>'Dwi Yunitasari'!K36</f>
        <v>0</v>
      </c>
      <c r="AG22" s="175">
        <f>'Dwi Yunitasari'!L21</f>
        <v>2000000</v>
      </c>
      <c r="AH22" s="175">
        <f>'Dwi Yunitasari'!L36</f>
        <v>0</v>
      </c>
      <c r="AI22" s="175">
        <f>'Dwi Yunitasari'!M21</f>
        <v>2000000</v>
      </c>
      <c r="AJ22" s="175">
        <f>'Dwi Yunitasari'!M36</f>
        <v>0</v>
      </c>
      <c r="AK22" s="175">
        <f>'Dwi Yunitasari'!N21</f>
        <v>2000000</v>
      </c>
      <c r="AL22" s="175">
        <f>'Dwi Yunitasari'!N36</f>
        <v>0</v>
      </c>
      <c r="AM22" s="187"/>
    </row>
    <row r="23" spans="1:39" x14ac:dyDescent="0.2">
      <c r="A23" s="197">
        <v>17</v>
      </c>
      <c r="B23" s="198" t="s">
        <v>522</v>
      </c>
      <c r="C23" s="200" t="s">
        <v>182</v>
      </c>
      <c r="D23" s="200" t="s">
        <v>183</v>
      </c>
      <c r="E23" s="152" t="s">
        <v>529</v>
      </c>
      <c r="F23" s="197" t="s">
        <v>148</v>
      </c>
      <c r="G23" s="197" t="s">
        <v>64</v>
      </c>
      <c r="H23" s="211"/>
      <c r="I23" s="202"/>
      <c r="J23" s="212" t="s">
        <v>500</v>
      </c>
      <c r="K23" s="212" t="s">
        <v>461</v>
      </c>
      <c r="L23" s="197"/>
      <c r="M23" s="175">
        <f>'E. Nuryakin'!C21</f>
        <v>3500000</v>
      </c>
      <c r="N23" s="175">
        <f>'E. Nuryakin'!C36</f>
        <v>0</v>
      </c>
      <c r="O23" s="175">
        <f>'E. Nuryakin'!D21</f>
        <v>3500000</v>
      </c>
      <c r="P23" s="175">
        <f>'E. Nuryakin'!D36</f>
        <v>0</v>
      </c>
      <c r="Q23" s="175">
        <f>'E. Nuryakin'!E21</f>
        <v>3500000</v>
      </c>
      <c r="R23" s="175">
        <f>'E. Nuryakin'!E36</f>
        <v>0</v>
      </c>
      <c r="S23" s="175">
        <f>'E. Nuryakin'!F21</f>
        <v>3500000</v>
      </c>
      <c r="T23" s="175">
        <f>'E. Nuryakin'!F36</f>
        <v>0</v>
      </c>
      <c r="U23" s="175">
        <f>'E. Nuryakin'!P20</f>
        <v>3500000</v>
      </c>
      <c r="V23" s="175">
        <f>'E. Nuryakin'!P37</f>
        <v>0</v>
      </c>
      <c r="W23" s="175">
        <f>'E. Nuryakin'!G21</f>
        <v>3500000</v>
      </c>
      <c r="X23" s="175">
        <f>'E. Nuryakin'!G36</f>
        <v>0</v>
      </c>
      <c r="Y23" s="175">
        <f>'E. Nuryakin'!H21</f>
        <v>3550000</v>
      </c>
      <c r="Z23" s="175">
        <f>'E. Nuryakin'!H36</f>
        <v>0</v>
      </c>
      <c r="AA23" s="175">
        <f>'E. Nuryakin'!I21</f>
        <v>3550000</v>
      </c>
      <c r="AB23" s="175">
        <f>'E. Nuryakin'!I36</f>
        <v>0</v>
      </c>
      <c r="AC23" s="175">
        <f>'E. Nuryakin'!J21</f>
        <v>3600000</v>
      </c>
      <c r="AD23" s="175">
        <f>'E. Nuryakin'!J36</f>
        <v>0</v>
      </c>
      <c r="AE23" s="175">
        <f>'E. Nuryakin'!K21</f>
        <v>3550000</v>
      </c>
      <c r="AF23" s="175">
        <f>'E. Nuryakin'!K36</f>
        <v>0</v>
      </c>
      <c r="AG23" s="175">
        <f>'E. Nuryakin'!L21</f>
        <v>3550000</v>
      </c>
      <c r="AH23" s="175">
        <f>'E. Nuryakin'!L36</f>
        <v>0</v>
      </c>
      <c r="AI23" s="175">
        <f>'E. Nuryakin'!M21</f>
        <v>0</v>
      </c>
      <c r="AJ23" s="175">
        <f>'E. Nuryakin'!M36</f>
        <v>0</v>
      </c>
      <c r="AK23" s="175">
        <f>'E. Nuryakin'!N21</f>
        <v>0</v>
      </c>
      <c r="AL23" s="175">
        <f>'E. Nuryakin'!N36</f>
        <v>0</v>
      </c>
      <c r="AM23" s="187"/>
    </row>
    <row r="24" spans="1:39" x14ac:dyDescent="0.2">
      <c r="A24" s="197">
        <v>18</v>
      </c>
      <c r="B24" s="198" t="s">
        <v>522</v>
      </c>
      <c r="C24" s="200"/>
      <c r="D24" s="178" t="s">
        <v>453</v>
      </c>
      <c r="E24" s="152" t="s">
        <v>529</v>
      </c>
      <c r="F24" s="211" t="s">
        <v>116</v>
      </c>
      <c r="G24" s="197" t="s">
        <v>67</v>
      </c>
      <c r="H24" s="214">
        <v>44228</v>
      </c>
      <c r="I24" s="197"/>
      <c r="J24" s="212"/>
      <c r="K24" s="212"/>
      <c r="L24" s="197"/>
      <c r="M24" s="175">
        <f>'Endang Setiawati'!C17</f>
        <v>0</v>
      </c>
      <c r="N24" s="175">
        <f>'Endang Setiawati'!C32</f>
        <v>0</v>
      </c>
      <c r="O24" s="175">
        <f>'Endang Setiawati'!D17</f>
        <v>0</v>
      </c>
      <c r="P24" s="175">
        <f>'Endang Setiawati'!D32</f>
        <v>0</v>
      </c>
      <c r="Q24" s="175">
        <f>'Endang Setiawati'!E17</f>
        <v>0</v>
      </c>
      <c r="R24" s="175">
        <f>'Endang Setiawati'!E32</f>
        <v>0</v>
      </c>
      <c r="S24" s="175">
        <f>'Endang Setiawati'!F17</f>
        <v>0</v>
      </c>
      <c r="T24" s="175">
        <f>'Endang Setiawati'!F32</f>
        <v>0</v>
      </c>
      <c r="U24" s="175">
        <f>'Endang Setiawati'!P16</f>
        <v>0</v>
      </c>
      <c r="V24" s="175">
        <f>'Endang Setiawati'!P33</f>
        <v>0</v>
      </c>
      <c r="W24" s="175">
        <f>'Endang Setiawati'!G17</f>
        <v>0</v>
      </c>
      <c r="X24" s="175">
        <f>'Endang Setiawati'!G32</f>
        <v>0</v>
      </c>
      <c r="Y24" s="175">
        <f>'Endang Setiawati'!H17</f>
        <v>0</v>
      </c>
      <c r="Z24" s="175">
        <f>'Endang Setiawati'!H32</f>
        <v>0</v>
      </c>
      <c r="AA24" s="175">
        <f>'Endang Setiawati'!I17</f>
        <v>0</v>
      </c>
      <c r="AB24" s="175">
        <f>'Endang Setiawati'!I32</f>
        <v>0</v>
      </c>
      <c r="AC24" s="175">
        <f>'Endang Setiawati'!J17</f>
        <v>0</v>
      </c>
      <c r="AD24" s="175">
        <f>'Endang Setiawati'!J32</f>
        <v>0</v>
      </c>
      <c r="AE24" s="175">
        <f>'Endang Setiawati'!K17</f>
        <v>0</v>
      </c>
      <c r="AF24" s="175">
        <f>'Endang Setiawati'!K32</f>
        <v>0</v>
      </c>
      <c r="AG24" s="175">
        <f>'Endang Setiawati'!L17</f>
        <v>0</v>
      </c>
      <c r="AH24" s="175">
        <f>'Endang Setiawati'!L32</f>
        <v>0</v>
      </c>
      <c r="AI24" s="175">
        <f>'Endang Setiawati'!M17</f>
        <v>0</v>
      </c>
      <c r="AJ24" s="175">
        <f>'Endang Setiawati'!M32</f>
        <v>0</v>
      </c>
      <c r="AK24" s="175">
        <f>'Endang Setiawati'!N17</f>
        <v>0</v>
      </c>
      <c r="AL24" s="175">
        <f>'Endang Setiawati'!N32</f>
        <v>0</v>
      </c>
      <c r="AM24" s="187"/>
    </row>
    <row r="25" spans="1:39" x14ac:dyDescent="0.2">
      <c r="A25" s="197">
        <v>19</v>
      </c>
      <c r="B25" s="198" t="s">
        <v>522</v>
      </c>
      <c r="C25" s="200" t="s">
        <v>190</v>
      </c>
      <c r="D25" s="200" t="s">
        <v>191</v>
      </c>
      <c r="E25" s="152" t="s">
        <v>529</v>
      </c>
      <c r="F25" s="179" t="s">
        <v>148</v>
      </c>
      <c r="G25" s="197" t="s">
        <v>64</v>
      </c>
      <c r="H25" s="201"/>
      <c r="I25" s="202"/>
      <c r="J25" s="212" t="s">
        <v>495</v>
      </c>
      <c r="K25" s="212" t="s">
        <v>468</v>
      </c>
      <c r="L25" s="213" t="s">
        <v>446</v>
      </c>
      <c r="M25" s="175">
        <f>Fakhlur!C21</f>
        <v>9800000</v>
      </c>
      <c r="N25" s="175">
        <f>Fakhlur!C36</f>
        <v>198600</v>
      </c>
      <c r="O25" s="175">
        <f>Fakhlur!D21</f>
        <v>5000000</v>
      </c>
      <c r="P25" s="175">
        <f>Fakhlur!D36</f>
        <v>-75000</v>
      </c>
      <c r="Q25" s="175">
        <f>Fakhlur!E21</f>
        <v>11430000</v>
      </c>
      <c r="R25" s="175">
        <f>Fakhlur!E36</f>
        <v>295800</v>
      </c>
      <c r="S25" s="175">
        <f>Fakhlur!F21</f>
        <v>7000000</v>
      </c>
      <c r="T25" s="176">
        <f>Fakhlur!F36</f>
        <v>39000</v>
      </c>
      <c r="U25" s="176">
        <f>Fakhlur!P20</f>
        <v>3000000</v>
      </c>
      <c r="V25" s="176">
        <f>Fakhlur!P37</f>
        <v>171000</v>
      </c>
      <c r="W25" s="176">
        <f>Fakhlur!G21</f>
        <v>7275000</v>
      </c>
      <c r="X25" s="176">
        <f>Fakhlur!G36</f>
        <v>54675</v>
      </c>
      <c r="Y25" s="176">
        <f>Fakhlur!H21</f>
        <v>6650000</v>
      </c>
      <c r="Z25" s="176">
        <f>Fakhlur!H36</f>
        <v>19035</v>
      </c>
      <c r="AA25" s="176">
        <f>Fakhlur!I21</f>
        <v>5000000</v>
      </c>
      <c r="AB25" s="176">
        <f>Fakhlur!I36</f>
        <v>-75010.000000000058</v>
      </c>
      <c r="AC25" s="176">
        <f>Fakhlur!J21</f>
        <v>11325000</v>
      </c>
      <c r="AD25" s="176">
        <f>Fakhlur!J36</f>
        <v>289499.99999999994</v>
      </c>
      <c r="AE25" s="176">
        <f>Fakhlur!K21</f>
        <v>12455000</v>
      </c>
      <c r="AF25" s="176">
        <f>Fakhlur!K36</f>
        <v>357295.00000000012</v>
      </c>
      <c r="AG25" s="176">
        <f>Fakhlur!L21</f>
        <v>8125000</v>
      </c>
      <c r="AH25" s="176">
        <f>Fakhlur!L36</f>
        <v>103155</v>
      </c>
      <c r="AI25" s="176">
        <f>Fakhlur!M21</f>
        <v>5000000</v>
      </c>
      <c r="AJ25" s="176">
        <f>Fakhlur!M36</f>
        <v>-75040</v>
      </c>
      <c r="AK25" s="176">
        <f>Fakhlur!N21</f>
        <v>6179000</v>
      </c>
      <c r="AL25" s="176">
        <f>Fakhlur!N36</f>
        <v>147610</v>
      </c>
      <c r="AM25" s="187"/>
    </row>
    <row r="26" spans="1:39" x14ac:dyDescent="0.2">
      <c r="A26" s="197">
        <v>20</v>
      </c>
      <c r="B26" s="198" t="s">
        <v>522</v>
      </c>
      <c r="C26" s="198" t="s">
        <v>564</v>
      </c>
      <c r="D26" s="200" t="s">
        <v>435</v>
      </c>
      <c r="E26" s="152" t="s">
        <v>529</v>
      </c>
      <c r="F26" s="197" t="s">
        <v>148</v>
      </c>
      <c r="G26" s="197" t="s">
        <v>64</v>
      </c>
      <c r="H26" s="202">
        <v>44009</v>
      </c>
      <c r="I26" s="202"/>
      <c r="J26" s="212" t="s">
        <v>558</v>
      </c>
      <c r="K26" s="212" t="s">
        <v>478</v>
      </c>
      <c r="L26" s="213" t="s">
        <v>446</v>
      </c>
      <c r="M26" s="175">
        <f>'Fakhlur Ikhram Haris'!C17</f>
        <v>0</v>
      </c>
      <c r="N26" s="175">
        <f>'Fakhlur Ikhram Haris'!C32</f>
        <v>0</v>
      </c>
      <c r="O26" s="175">
        <f>'Fakhlur Ikhram Haris'!D17</f>
        <v>0</v>
      </c>
      <c r="P26" s="175">
        <f>'Fakhlur Ikhram Haris'!D32</f>
        <v>0</v>
      </c>
      <c r="Q26" s="175">
        <f>'Fakhlur Ikhram Haris'!E17</f>
        <v>0</v>
      </c>
      <c r="R26" s="175">
        <f>'Fakhlur Ikhram Haris'!E32</f>
        <v>0</v>
      </c>
      <c r="S26" s="175">
        <f>'Fakhlur Ikhram Haris'!F17</f>
        <v>0</v>
      </c>
      <c r="T26" s="175">
        <f>'Fakhlur Ikhram Haris'!F32</f>
        <v>0</v>
      </c>
      <c r="U26" s="175">
        <f>'Fakhlur Ikhram Haris'!P16</f>
        <v>0</v>
      </c>
      <c r="V26" s="175">
        <f>'Fakhlur Ikhram Haris'!P33</f>
        <v>0</v>
      </c>
      <c r="W26" s="175">
        <f>'Fakhlur Ikhram Haris'!G17</f>
        <v>0</v>
      </c>
      <c r="X26" s="175">
        <f>'Fakhlur Ikhram Haris'!G32</f>
        <v>0</v>
      </c>
      <c r="Y26" s="175">
        <f>'Fakhlur Ikhram Haris'!H17</f>
        <v>0</v>
      </c>
      <c r="Z26" s="175">
        <f>'Fakhlur Ikhram Haris'!H32</f>
        <v>0</v>
      </c>
      <c r="AA26" s="175">
        <f>'Fakhlur Ikhram Haris'!I17</f>
        <v>0</v>
      </c>
      <c r="AB26" s="175">
        <f>'Fakhlur Ikhram Haris'!I32</f>
        <v>0</v>
      </c>
      <c r="AC26" s="175">
        <f>'Fakhlur Ikhram Haris'!J17</f>
        <v>0</v>
      </c>
      <c r="AD26" s="175">
        <f>'Fakhlur Ikhram Haris'!J32</f>
        <v>0</v>
      </c>
      <c r="AE26" s="175">
        <f>'Fakhlur Ikhram Haris'!K17</f>
        <v>0</v>
      </c>
      <c r="AF26" s="175">
        <f>'Fakhlur Ikhram Haris'!K32</f>
        <v>0</v>
      </c>
      <c r="AG26" s="175">
        <f>'Fakhlur Ikhram Haris'!L17</f>
        <v>0</v>
      </c>
      <c r="AH26" s="175">
        <f>'Fakhlur Ikhram Haris'!L32</f>
        <v>0</v>
      </c>
      <c r="AI26" s="175">
        <f>'Fakhlur Ikhram Haris'!M17</f>
        <v>0</v>
      </c>
      <c r="AJ26" s="175">
        <f>'Fakhlur Ikhram Haris'!M32</f>
        <v>0</v>
      </c>
      <c r="AK26" s="175">
        <f>'Fakhlur Ikhram Haris'!N17</f>
        <v>0</v>
      </c>
      <c r="AL26" s="175">
        <f>'Fakhlur Ikhram Haris'!N32</f>
        <v>0</v>
      </c>
      <c r="AM26" s="187"/>
    </row>
    <row r="27" spans="1:39" x14ac:dyDescent="0.2">
      <c r="A27" s="197">
        <v>21</v>
      </c>
      <c r="B27" s="198" t="s">
        <v>522</v>
      </c>
      <c r="C27" s="200" t="s">
        <v>208</v>
      </c>
      <c r="D27" s="200" t="s">
        <v>209</v>
      </c>
      <c r="E27" s="152" t="s">
        <v>529</v>
      </c>
      <c r="F27" s="179" t="s">
        <v>116</v>
      </c>
      <c r="G27" s="197" t="s">
        <v>67</v>
      </c>
      <c r="H27" s="201"/>
      <c r="I27" s="202"/>
      <c r="J27" s="212" t="s">
        <v>494</v>
      </c>
      <c r="K27" s="212" t="s">
        <v>467</v>
      </c>
      <c r="L27" s="197"/>
      <c r="M27" s="175">
        <f>'Feny Windiyastuti'!C21</f>
        <v>5000000</v>
      </c>
      <c r="N27" s="175">
        <f>'Feny Windiyastuti'!C36</f>
        <v>15000</v>
      </c>
      <c r="O27" s="175">
        <f>'Feny Windiyastuti'!D21</f>
        <v>5700000</v>
      </c>
      <c r="P27" s="175">
        <f>'Feny Windiyastuti'!D36</f>
        <v>54900</v>
      </c>
      <c r="Q27" s="175">
        <f>'Feny Windiyastuti'!E21</f>
        <v>9260000</v>
      </c>
      <c r="R27" s="175">
        <f>'Feny Windiyastuti'!E36</f>
        <v>257820</v>
      </c>
      <c r="S27" s="175">
        <f>'Feny Windiyastuti'!F21</f>
        <v>5625000</v>
      </c>
      <c r="T27" s="176">
        <f>'Feny Windiyastuti'!F36</f>
        <v>50619.999999999942</v>
      </c>
      <c r="U27" s="176">
        <f>'Feny Windiyastuti'!P20</f>
        <v>3000000</v>
      </c>
      <c r="V27" s="176">
        <f>'Feny Windiyastuti'!P37</f>
        <v>171000</v>
      </c>
      <c r="W27" s="176">
        <f>'Feny Windiyastuti'!G21</f>
        <v>6250000</v>
      </c>
      <c r="X27" s="176">
        <f>'Feny Windiyastuti'!G36</f>
        <v>86235.000000000116</v>
      </c>
      <c r="Y27" s="176">
        <f>'Feny Windiyastuti'!H21</f>
        <v>5000000</v>
      </c>
      <c r="Z27" s="176">
        <f>'Feny Windiyastuti'!H36</f>
        <v>15004.999999999942</v>
      </c>
      <c r="AA27" s="176">
        <f>'Feny Windiyastuti'!I21</f>
        <v>5000000</v>
      </c>
      <c r="AB27" s="176">
        <f>'Feny Windiyastuti'!I36</f>
        <v>15004.999999999942</v>
      </c>
      <c r="AC27" s="176">
        <f>'Feny Windiyastuti'!J21</f>
        <v>5000000</v>
      </c>
      <c r="AD27" s="176">
        <f>'Feny Windiyastuti'!J36</f>
        <v>14975</v>
      </c>
      <c r="AE27" s="176">
        <f>'Feny Windiyastuti'!K21</f>
        <v>11555000</v>
      </c>
      <c r="AF27" s="176">
        <f>'Feny Windiyastuti'!K36</f>
        <v>393320.00000000006</v>
      </c>
      <c r="AG27" s="176">
        <f>'Feny Windiyastuti'!L21</f>
        <v>7600000</v>
      </c>
      <c r="AH27" s="176">
        <f>'Feny Windiyastuti'!L36</f>
        <v>163170</v>
      </c>
      <c r="AI27" s="176">
        <f>'Feny Windiyastuti'!M21</f>
        <v>5000000</v>
      </c>
      <c r="AJ27" s="176">
        <f>'Feny Windiyastuti'!M36</f>
        <v>15030</v>
      </c>
      <c r="AK27" s="176">
        <f>'Feny Windiyastuti'!N21</f>
        <v>5000000</v>
      </c>
      <c r="AL27" s="176">
        <f>'Feny Windiyastuti'!N36</f>
        <v>181320</v>
      </c>
      <c r="AM27" s="187"/>
    </row>
    <row r="28" spans="1:39" x14ac:dyDescent="0.2">
      <c r="A28" s="197">
        <v>22</v>
      </c>
      <c r="B28" s="198" t="s">
        <v>522</v>
      </c>
      <c r="C28" s="200" t="s">
        <v>100</v>
      </c>
      <c r="D28" s="200" t="s">
        <v>218</v>
      </c>
      <c r="E28" s="152" t="s">
        <v>531</v>
      </c>
      <c r="F28" s="153" t="s">
        <v>148</v>
      </c>
      <c r="G28" s="197" t="s">
        <v>64</v>
      </c>
      <c r="H28" s="201"/>
      <c r="I28" s="202"/>
      <c r="J28" s="203" t="s">
        <v>486</v>
      </c>
      <c r="K28" s="203" t="s">
        <v>458</v>
      </c>
      <c r="L28" s="213" t="s">
        <v>446</v>
      </c>
      <c r="M28" s="177">
        <f>'Gunawan Nachrawi'!C21</f>
        <v>12850000</v>
      </c>
      <c r="N28" s="177">
        <f>'Gunawan Nachrawi'!C36</f>
        <v>452500</v>
      </c>
      <c r="O28" s="177">
        <f>'Gunawan Nachrawi'!D21</f>
        <v>6650000</v>
      </c>
      <c r="P28" s="177">
        <f>'Gunawan Nachrawi'!D36</f>
        <v>-119125</v>
      </c>
      <c r="Q28" s="177">
        <f>'Gunawan Nachrawi'!E21</f>
        <v>18610000</v>
      </c>
      <c r="R28" s="177">
        <f>'Gunawan Nachrawi'!E36</f>
        <v>983250</v>
      </c>
      <c r="S28" s="177">
        <f>'Gunawan Nachrawi'!F21</f>
        <v>18900000</v>
      </c>
      <c r="T28" s="173">
        <f>'Gunawan Nachrawi'!F36</f>
        <v>1359975</v>
      </c>
      <c r="U28" s="173">
        <f>'Gunawan Nachrawi'!P20</f>
        <v>5000000</v>
      </c>
      <c r="V28" s="173">
        <f>'Gunawan Nachrawi'!P37</f>
        <v>750000</v>
      </c>
      <c r="W28" s="173">
        <f>'Gunawan Nachrawi'!G21</f>
        <v>13375000</v>
      </c>
      <c r="X28" s="173">
        <f>'Gunawan Nachrawi'!G36</f>
        <v>531275</v>
      </c>
      <c r="Y28" s="173">
        <f>'Gunawan Nachrawi'!H21</f>
        <v>6200000</v>
      </c>
      <c r="Z28" s="173">
        <f>'Gunawan Nachrawi'!H36</f>
        <v>-516500</v>
      </c>
      <c r="AA28" s="173">
        <f>'Gunawan Nachrawi'!I21</f>
        <v>5000000</v>
      </c>
      <c r="AB28" s="173">
        <f>'Gunawan Nachrawi'!I36</f>
        <v>-687537.5</v>
      </c>
      <c r="AC28" s="173">
        <f>'Gunawan Nachrawi'!J21</f>
        <v>7400000</v>
      </c>
      <c r="AD28" s="173">
        <f>'Gunawan Nachrawi'!J36</f>
        <v>-117737.5</v>
      </c>
      <c r="AE28" s="173">
        <f>'Gunawan Nachrawi'!K21</f>
        <v>16495000</v>
      </c>
      <c r="AF28" s="173">
        <f>'Gunawan Nachrawi'!K36</f>
        <v>771487.5</v>
      </c>
      <c r="AG28" s="173">
        <f>'Gunawan Nachrawi'!L21</f>
        <v>9653000</v>
      </c>
      <c r="AH28" s="173">
        <f>'Gunawan Nachrawi'!L36</f>
        <v>-24462.5</v>
      </c>
      <c r="AI28" s="173">
        <f>'Gunawan Nachrawi'!M21</f>
        <v>5000000</v>
      </c>
      <c r="AJ28" s="173">
        <f>'Gunawan Nachrawi'!M36</f>
        <v>-151250</v>
      </c>
      <c r="AK28" s="173">
        <f>'Gunawan Nachrawi'!N21</f>
        <v>9775000</v>
      </c>
      <c r="AL28" s="173">
        <f>'Gunawan Nachrawi'!N36</f>
        <v>363525</v>
      </c>
      <c r="AM28" s="187"/>
    </row>
    <row r="29" spans="1:39" x14ac:dyDescent="0.2">
      <c r="A29" s="197">
        <v>23</v>
      </c>
      <c r="B29" s="198" t="s">
        <v>522</v>
      </c>
      <c r="C29" s="198" t="s">
        <v>565</v>
      </c>
      <c r="D29" s="200" t="s">
        <v>227</v>
      </c>
      <c r="E29" s="152" t="s">
        <v>529</v>
      </c>
      <c r="F29" s="215" t="s">
        <v>148</v>
      </c>
      <c r="G29" s="197" t="s">
        <v>64</v>
      </c>
      <c r="H29" s="211"/>
      <c r="I29" s="202"/>
      <c r="J29" s="212" t="s">
        <v>502</v>
      </c>
      <c r="K29" s="212" t="s">
        <v>474</v>
      </c>
      <c r="L29" s="197"/>
      <c r="M29" s="175">
        <f>'Heriandi Budiono'!C21</f>
        <v>4000000</v>
      </c>
      <c r="N29" s="175">
        <f>'Heriandi Budiono'!C36</f>
        <v>0</v>
      </c>
      <c r="O29" s="175">
        <f>'Heriandi Budiono'!D21</f>
        <v>0</v>
      </c>
      <c r="P29" s="175">
        <f>'Heriandi Budiono'!D36</f>
        <v>0</v>
      </c>
      <c r="Q29" s="175">
        <f>'Heriandi Budiono'!E21</f>
        <v>0</v>
      </c>
      <c r="R29" s="175">
        <f>'Heriandi Budiono'!E36</f>
        <v>0</v>
      </c>
      <c r="S29" s="175">
        <f>'Heriandi Budiono'!F21</f>
        <v>0</v>
      </c>
      <c r="T29" s="175">
        <f>'Heriandi Budiono'!F36</f>
        <v>0</v>
      </c>
      <c r="U29" s="175">
        <f>'Heriandi Budiono'!P20</f>
        <v>0</v>
      </c>
      <c r="V29" s="175">
        <f>'Heriandi Budiono'!P37</f>
        <v>0</v>
      </c>
      <c r="W29" s="175">
        <f>'Heriandi Budiono'!G21</f>
        <v>0</v>
      </c>
      <c r="X29" s="175">
        <f>'Heriandi Budiono'!G36</f>
        <v>0</v>
      </c>
      <c r="Y29" s="175">
        <f>'Heriandi Budiono'!H21</f>
        <v>0</v>
      </c>
      <c r="Z29" s="175">
        <f>'Heriandi Budiono'!H36</f>
        <v>0</v>
      </c>
      <c r="AA29" s="175">
        <f>'Heriandi Budiono'!I21</f>
        <v>0</v>
      </c>
      <c r="AB29" s="175">
        <f>'Heriandi Budiono'!I36</f>
        <v>0</v>
      </c>
      <c r="AC29" s="175">
        <f>'Heriandi Budiono'!J21</f>
        <v>0</v>
      </c>
      <c r="AD29" s="175">
        <f>'Heriandi Budiono'!J36</f>
        <v>0</v>
      </c>
      <c r="AE29" s="175">
        <f>'Heriandi Budiono'!K21</f>
        <v>0</v>
      </c>
      <c r="AF29" s="175">
        <f>'Heriandi Budiono'!K36</f>
        <v>0</v>
      </c>
      <c r="AG29" s="175">
        <f>'Heriandi Budiono'!L21</f>
        <v>0</v>
      </c>
      <c r="AH29" s="175">
        <f>'Heriandi Budiono'!L36</f>
        <v>0</v>
      </c>
      <c r="AI29" s="175">
        <f>'Heriandi Budiono'!M21</f>
        <v>0</v>
      </c>
      <c r="AJ29" s="175">
        <f>'Heriandi Budiono'!M36</f>
        <v>0</v>
      </c>
      <c r="AK29" s="175">
        <f>'Heriandi Budiono'!N21</f>
        <v>0</v>
      </c>
      <c r="AL29" s="175">
        <f>'Heriandi Budiono'!N36</f>
        <v>0</v>
      </c>
      <c r="AM29" s="187"/>
    </row>
    <row r="30" spans="1:39" x14ac:dyDescent="0.2">
      <c r="A30" s="197">
        <v>24</v>
      </c>
      <c r="B30" s="198" t="s">
        <v>522</v>
      </c>
      <c r="C30" s="200"/>
      <c r="D30" s="178" t="s">
        <v>483</v>
      </c>
      <c r="E30" s="152" t="s">
        <v>529</v>
      </c>
      <c r="F30" s="211" t="s">
        <v>116</v>
      </c>
      <c r="G30" s="197" t="s">
        <v>67</v>
      </c>
      <c r="H30" s="197"/>
      <c r="I30" s="197"/>
      <c r="J30" s="212"/>
      <c r="K30" s="212" t="s">
        <v>482</v>
      </c>
      <c r="L30" s="197"/>
      <c r="M30" s="175">
        <f>'Indah Prisilia '!C21</f>
        <v>2000000</v>
      </c>
      <c r="N30" s="175">
        <f>'Indah Prisilia '!C36</f>
        <v>0</v>
      </c>
      <c r="O30" s="175">
        <f>'Indah Prisilia '!D21</f>
        <v>2000000</v>
      </c>
      <c r="P30" s="175">
        <f>'Indah Prisilia '!D36</f>
        <v>0</v>
      </c>
      <c r="Q30" s="175">
        <f>'Indah Prisilia '!E21</f>
        <v>2000000</v>
      </c>
      <c r="R30" s="175">
        <f>'Indah Prisilia '!E36</f>
        <v>0</v>
      </c>
      <c r="S30" s="175">
        <f>'Indah Prisilia '!F21</f>
        <v>2000000</v>
      </c>
      <c r="T30" s="175">
        <f>'Indah Prisilia '!F36</f>
        <v>0</v>
      </c>
      <c r="U30" s="175">
        <f>'Indah Prisilia '!P20</f>
        <v>2000000</v>
      </c>
      <c r="V30" s="175">
        <f>'Indah Prisilia '!P37</f>
        <v>0</v>
      </c>
      <c r="W30" s="175">
        <f>'Indah Prisilia '!G21</f>
        <v>2000000</v>
      </c>
      <c r="X30" s="175">
        <f>'Indah Prisilia '!G36</f>
        <v>0</v>
      </c>
      <c r="Y30" s="175">
        <f>'Indah Prisilia '!H21</f>
        <v>2000000</v>
      </c>
      <c r="Z30" s="175">
        <f>'Indah Prisilia '!H36</f>
        <v>0</v>
      </c>
      <c r="AA30" s="175">
        <f>'Indah Prisilia '!I21</f>
        <v>2000000</v>
      </c>
      <c r="AB30" s="175">
        <f>'Indah Prisilia '!I36</f>
        <v>0</v>
      </c>
      <c r="AC30" s="175">
        <f>'Indah Prisilia '!J21</f>
        <v>2000000</v>
      </c>
      <c r="AD30" s="175">
        <f>'Indah Prisilia '!J36</f>
        <v>0</v>
      </c>
      <c r="AE30" s="175">
        <f>'Indah Prisilia '!K21</f>
        <v>2000000</v>
      </c>
      <c r="AF30" s="175">
        <f>'Indah Prisilia '!K36</f>
        <v>0</v>
      </c>
      <c r="AG30" s="175">
        <f>'Indah Prisilia '!L21</f>
        <v>2000000</v>
      </c>
      <c r="AH30" s="175">
        <f>'Indah Prisilia '!L36</f>
        <v>0</v>
      </c>
      <c r="AI30" s="175">
        <f>'Indah Prisilia '!M21</f>
        <v>2000000</v>
      </c>
      <c r="AJ30" s="175">
        <f>'Indah Prisilia '!M36</f>
        <v>0</v>
      </c>
      <c r="AK30" s="175">
        <f>'Indah Prisilia '!N21</f>
        <v>2000000</v>
      </c>
      <c r="AL30" s="175">
        <f>'Indah Prisilia '!N36</f>
        <v>0</v>
      </c>
      <c r="AM30" s="187"/>
    </row>
    <row r="31" spans="1:39" ht="15.75" customHeight="1" x14ac:dyDescent="0.2">
      <c r="A31" s="197">
        <v>25</v>
      </c>
      <c r="B31" s="198" t="s">
        <v>522</v>
      </c>
      <c r="C31" s="198"/>
      <c r="D31" s="178" t="s">
        <v>546</v>
      </c>
      <c r="E31" s="152" t="s">
        <v>529</v>
      </c>
      <c r="F31" s="211" t="s">
        <v>148</v>
      </c>
      <c r="G31" s="197" t="s">
        <v>64</v>
      </c>
      <c r="H31" s="214"/>
      <c r="I31" s="197"/>
      <c r="J31" s="203"/>
      <c r="K31" s="212" t="s">
        <v>548</v>
      </c>
      <c r="L31" s="197"/>
      <c r="M31" s="175">
        <f>'Indra Bayu Cahyadi'!C17</f>
        <v>0</v>
      </c>
      <c r="N31" s="175">
        <f>'Indra Bayu Cahyadi'!C32</f>
        <v>0</v>
      </c>
      <c r="O31" s="175">
        <f>'Indra Bayu Cahyadi'!D17</f>
        <v>0</v>
      </c>
      <c r="P31" s="175">
        <f>'Indra Bayu Cahyadi'!D32</f>
        <v>0</v>
      </c>
      <c r="Q31" s="175">
        <f>'Indra Bayu Cahyadi'!E17</f>
        <v>0</v>
      </c>
      <c r="R31" s="175">
        <f>'Indra Bayu Cahyadi'!E32</f>
        <v>0</v>
      </c>
      <c r="S31" s="175">
        <f>'Indra Bayu Cahyadi'!F17</f>
        <v>0</v>
      </c>
      <c r="T31" s="175">
        <f>'Indra Bayu Cahyadi'!F32</f>
        <v>0</v>
      </c>
      <c r="U31" s="175">
        <f>'Indra Bayu Cahyadi'!P16</f>
        <v>0</v>
      </c>
      <c r="V31" s="175">
        <f>'Indra Bayu Cahyadi'!P33</f>
        <v>0</v>
      </c>
      <c r="W31" s="175">
        <f>'Indra Bayu Cahyadi'!G17</f>
        <v>0</v>
      </c>
      <c r="X31" s="175">
        <f>'Indra Bayu Cahyadi'!G32</f>
        <v>0</v>
      </c>
      <c r="Y31" s="175">
        <f>'Indra Bayu Cahyadi'!H17</f>
        <v>0</v>
      </c>
      <c r="Z31" s="175">
        <f>'Indra Bayu Cahyadi'!H32</f>
        <v>0</v>
      </c>
      <c r="AA31" s="175">
        <f>'Indra Bayu Cahyadi'!I17</f>
        <v>0</v>
      </c>
      <c r="AB31" s="175">
        <f>'Indra Bayu Cahyadi'!I32</f>
        <v>0</v>
      </c>
      <c r="AC31" s="175">
        <f>'Indra Bayu Cahyadi'!J17</f>
        <v>0</v>
      </c>
      <c r="AD31" s="175">
        <f>'Indra Bayu Cahyadi'!J32</f>
        <v>0</v>
      </c>
      <c r="AE31" s="175">
        <f>'Indra Bayu Cahyadi'!K17</f>
        <v>0</v>
      </c>
      <c r="AF31" s="175">
        <f>'Indra Bayu Cahyadi'!K32</f>
        <v>0</v>
      </c>
      <c r="AG31" s="175">
        <f>'Indra Bayu Cahyadi'!L17</f>
        <v>0</v>
      </c>
      <c r="AH31" s="175">
        <f>'Indra Bayu Cahyadi'!L32</f>
        <v>0</v>
      </c>
      <c r="AI31" s="175">
        <f>'Indra Bayu Cahyadi'!M17</f>
        <v>0</v>
      </c>
      <c r="AJ31" s="175">
        <f>'Indra Bayu Cahyadi'!M32</f>
        <v>0</v>
      </c>
      <c r="AK31" s="175">
        <f>'Indra Bayu Cahyadi'!N17</f>
        <v>0</v>
      </c>
      <c r="AL31" s="175">
        <f>'Indra Bayu Cahyadi'!N32</f>
        <v>0</v>
      </c>
      <c r="AM31" s="187"/>
    </row>
    <row r="32" spans="1:39" ht="15.75" customHeight="1" x14ac:dyDescent="0.2">
      <c r="A32" s="197">
        <v>26</v>
      </c>
      <c r="B32" s="198" t="s">
        <v>522</v>
      </c>
      <c r="C32" s="200" t="s">
        <v>235</v>
      </c>
      <c r="D32" s="200" t="s">
        <v>236</v>
      </c>
      <c r="E32" s="152" t="s">
        <v>529</v>
      </c>
      <c r="F32" s="179" t="s">
        <v>116</v>
      </c>
      <c r="G32" s="197" t="s">
        <v>67</v>
      </c>
      <c r="H32" s="201"/>
      <c r="I32" s="202"/>
      <c r="J32" s="212" t="s">
        <v>489</v>
      </c>
      <c r="K32" s="212" t="s">
        <v>461</v>
      </c>
      <c r="L32" s="213" t="s">
        <v>446</v>
      </c>
      <c r="M32" s="175">
        <f>'Jamiatur Robekha'!C21</f>
        <v>4000000</v>
      </c>
      <c r="N32" s="175">
        <f>'Jamiatur Robekha'!C36</f>
        <v>0</v>
      </c>
      <c r="O32" s="175">
        <f>'Jamiatur Robekha'!D21</f>
        <v>4500000</v>
      </c>
      <c r="P32" s="175">
        <f>'Jamiatur Robekha'!D36</f>
        <v>0</v>
      </c>
      <c r="Q32" s="175">
        <f>'Jamiatur Robekha'!E21</f>
        <v>9080000</v>
      </c>
      <c r="R32" s="175">
        <f>'Jamiatur Robekha'!E36</f>
        <v>0</v>
      </c>
      <c r="S32" s="175">
        <f>'Jamiatur Robekha'!F21</f>
        <v>5875000</v>
      </c>
      <c r="T32" s="176">
        <f>'Jamiatur Robekha'!F36</f>
        <v>0</v>
      </c>
      <c r="U32" s="176">
        <f>'Jamiatur Robekha'!P20</f>
        <v>4000000</v>
      </c>
      <c r="V32" s="176">
        <f>'Jamiatur Robekha'!P37</f>
        <v>0</v>
      </c>
      <c r="W32" s="176">
        <f>'Jamiatur Robekha'!G21</f>
        <v>5875000</v>
      </c>
      <c r="X32" s="176">
        <f>'Jamiatur Robekha'!G36</f>
        <v>0</v>
      </c>
      <c r="Y32" s="176">
        <f>'Jamiatur Robekha'!H21</f>
        <v>4000000</v>
      </c>
      <c r="Z32" s="176">
        <f>'Jamiatur Robekha'!H36</f>
        <v>0</v>
      </c>
      <c r="AA32" s="176">
        <f>'Jamiatur Robekha'!I21</f>
        <v>4000000</v>
      </c>
      <c r="AB32" s="176">
        <f>'Jamiatur Robekha'!I36</f>
        <v>0</v>
      </c>
      <c r="AC32" s="176">
        <f>'Jamiatur Robekha'!J21</f>
        <v>7300000</v>
      </c>
      <c r="AD32" s="176">
        <f>'Jamiatur Robekha'!J36</f>
        <v>0</v>
      </c>
      <c r="AE32" s="176">
        <f>'Jamiatur Robekha'!K21</f>
        <v>9585000</v>
      </c>
      <c r="AF32" s="176">
        <f>'Jamiatur Robekha'!K36</f>
        <v>0</v>
      </c>
      <c r="AG32" s="176">
        <f>'Jamiatur Robekha'!L21</f>
        <v>4625000</v>
      </c>
      <c r="AH32" s="176">
        <f>'Jamiatur Robekha'!L36</f>
        <v>0</v>
      </c>
      <c r="AI32" s="176">
        <f>'Jamiatur Robekha'!M21</f>
        <v>4000000</v>
      </c>
      <c r="AJ32" s="176">
        <f>'Jamiatur Robekha'!M36</f>
        <v>0</v>
      </c>
      <c r="AK32" s="176">
        <f>'Jamiatur Robekha'!N21</f>
        <v>4000000</v>
      </c>
      <c r="AL32" s="176">
        <f>'Jamiatur Robekha'!N36</f>
        <v>0</v>
      </c>
      <c r="AM32" s="187"/>
    </row>
    <row r="33" spans="1:39" ht="15.75" customHeight="1" x14ac:dyDescent="0.2">
      <c r="A33" s="197">
        <v>27</v>
      </c>
      <c r="B33" s="198" t="s">
        <v>522</v>
      </c>
      <c r="C33" s="200" t="s">
        <v>245</v>
      </c>
      <c r="D33" s="200" t="s">
        <v>246</v>
      </c>
      <c r="E33" s="152" t="s">
        <v>529</v>
      </c>
      <c r="F33" s="179" t="s">
        <v>148</v>
      </c>
      <c r="G33" s="197" t="s">
        <v>64</v>
      </c>
      <c r="H33" s="211"/>
      <c r="I33" s="202"/>
      <c r="J33" s="212" t="s">
        <v>503</v>
      </c>
      <c r="K33" s="212" t="s">
        <v>475</v>
      </c>
      <c r="L33" s="197"/>
      <c r="M33" s="175">
        <f>'Kenzo Aldio'!C21</f>
        <v>4500000</v>
      </c>
      <c r="N33" s="175">
        <f>'Kenzo Aldio'!C36</f>
        <v>0</v>
      </c>
      <c r="O33" s="175">
        <f>'Kenzo Aldio'!D21</f>
        <v>4500000</v>
      </c>
      <c r="P33" s="175">
        <f>'Kenzo Aldio'!D36</f>
        <v>0</v>
      </c>
      <c r="Q33" s="175">
        <f>'Kenzo Aldio'!E21</f>
        <v>4500000</v>
      </c>
      <c r="R33" s="175">
        <f>'Kenzo Aldio'!E36</f>
        <v>0</v>
      </c>
      <c r="S33" s="175">
        <f>'Kenzo Aldio'!F21</f>
        <v>4500000</v>
      </c>
      <c r="T33" s="175">
        <f>'Kenzo Aldio'!F36</f>
        <v>0</v>
      </c>
      <c r="U33" s="175">
        <f>'Kenzo Aldio'!P20</f>
        <v>4500000</v>
      </c>
      <c r="V33" s="175">
        <f>'Kenzo Aldio'!P37</f>
        <v>0</v>
      </c>
      <c r="W33" s="175">
        <f>'Kenzo Aldio'!G21</f>
        <v>4500000</v>
      </c>
      <c r="X33" s="175">
        <f>'Kenzo Aldio'!G36</f>
        <v>0</v>
      </c>
      <c r="Y33" s="175">
        <f>'Kenzo Aldio'!H21</f>
        <v>4500000</v>
      </c>
      <c r="Z33" s="175">
        <f>'Kenzo Aldio'!H36</f>
        <v>0</v>
      </c>
      <c r="AA33" s="175">
        <f>'Kenzo Aldio'!I21</f>
        <v>4500000</v>
      </c>
      <c r="AB33" s="175">
        <f>'Kenzo Aldio'!I36</f>
        <v>0</v>
      </c>
      <c r="AC33" s="175">
        <f>'Kenzo Aldio'!J21</f>
        <v>4500000</v>
      </c>
      <c r="AD33" s="175">
        <f>'Kenzo Aldio'!J36</f>
        <v>0</v>
      </c>
      <c r="AE33" s="175">
        <f>'Kenzo Aldio'!K21</f>
        <v>4500000</v>
      </c>
      <c r="AF33" s="175">
        <f>'Kenzo Aldio'!K36</f>
        <v>0</v>
      </c>
      <c r="AG33" s="175">
        <f>'Kenzo Aldio'!L21</f>
        <v>4500000</v>
      </c>
      <c r="AH33" s="175">
        <f>'Kenzo Aldio'!L36</f>
        <v>0</v>
      </c>
      <c r="AI33" s="175">
        <f>'Kenzo Aldio'!M21</f>
        <v>4500000</v>
      </c>
      <c r="AJ33" s="175">
        <f>'Kenzo Aldio'!M36</f>
        <v>0</v>
      </c>
      <c r="AK33" s="175">
        <f>'Kenzo Aldio'!N21</f>
        <v>4500000</v>
      </c>
      <c r="AL33" s="175">
        <f>'Kenzo Aldio'!N36</f>
        <v>0</v>
      </c>
      <c r="AM33" s="187"/>
    </row>
    <row r="34" spans="1:39" ht="15.75" customHeight="1" x14ac:dyDescent="0.2">
      <c r="A34" s="197">
        <v>28</v>
      </c>
      <c r="B34" s="198" t="s">
        <v>522</v>
      </c>
      <c r="C34" s="198" t="s">
        <v>566</v>
      </c>
      <c r="D34" s="200" t="s">
        <v>430</v>
      </c>
      <c r="E34" s="152" t="s">
        <v>529</v>
      </c>
      <c r="F34" s="179" t="s">
        <v>116</v>
      </c>
      <c r="G34" s="197" t="s">
        <v>67</v>
      </c>
      <c r="H34" s="201"/>
      <c r="I34" s="202"/>
      <c r="J34" s="212" t="s">
        <v>492</v>
      </c>
      <c r="K34" s="212" t="s">
        <v>465</v>
      </c>
      <c r="L34" s="197"/>
      <c r="M34" s="175">
        <f>Khotijah!C21</f>
        <v>2000000</v>
      </c>
      <c r="N34" s="175">
        <f>Khotijah!C36</f>
        <v>0</v>
      </c>
      <c r="O34" s="175">
        <f>Khotijah!D21</f>
        <v>2000000</v>
      </c>
      <c r="P34" s="175">
        <f>Khotijah!D36</f>
        <v>0</v>
      </c>
      <c r="Q34" s="175">
        <f>Khotijah!E21</f>
        <v>2000000</v>
      </c>
      <c r="R34" s="175">
        <f>Khotijah!E36</f>
        <v>0</v>
      </c>
      <c r="S34" s="175">
        <f>Khotijah!F21</f>
        <v>2000000</v>
      </c>
      <c r="T34" s="176">
        <f>Khotijah!F36</f>
        <v>0</v>
      </c>
      <c r="U34" s="176">
        <f>Khotijah!P20</f>
        <v>2000000</v>
      </c>
      <c r="V34" s="176">
        <f>Khotijah!P37</f>
        <v>0</v>
      </c>
      <c r="W34" s="176">
        <f>Khotijah!G21</f>
        <v>2000000</v>
      </c>
      <c r="X34" s="176">
        <f>Khotijah!G36</f>
        <v>0</v>
      </c>
      <c r="Y34" s="176">
        <f>Khotijah!H21</f>
        <v>2000000</v>
      </c>
      <c r="Z34" s="176">
        <f>Khotijah!H36</f>
        <v>0</v>
      </c>
      <c r="AA34" s="176">
        <f>Khotijah!I21</f>
        <v>2000000</v>
      </c>
      <c r="AB34" s="176">
        <f>Khotijah!I36</f>
        <v>0</v>
      </c>
      <c r="AC34" s="176">
        <f>Khotijah!J21</f>
        <v>2000000</v>
      </c>
      <c r="AD34" s="176">
        <f>Khotijah!J36</f>
        <v>0</v>
      </c>
      <c r="AE34" s="176">
        <f>Khotijah!K21</f>
        <v>2000000</v>
      </c>
      <c r="AF34" s="176">
        <f>Khotijah!K36</f>
        <v>0</v>
      </c>
      <c r="AG34" s="176">
        <f>Khotijah!L21</f>
        <v>2000000</v>
      </c>
      <c r="AH34" s="176">
        <f>Khotijah!L36</f>
        <v>0</v>
      </c>
      <c r="AI34" s="176">
        <f>Khotijah!M21</f>
        <v>2000000</v>
      </c>
      <c r="AJ34" s="176">
        <f>Khotijah!M36</f>
        <v>0</v>
      </c>
      <c r="AK34" s="176">
        <f>Khotijah!N21</f>
        <v>2000000</v>
      </c>
      <c r="AL34" s="176">
        <f>Khotijah!N36</f>
        <v>0</v>
      </c>
      <c r="AM34" s="187"/>
    </row>
    <row r="35" spans="1:39" ht="15.75" customHeight="1" x14ac:dyDescent="0.2">
      <c r="A35" s="197">
        <v>29</v>
      </c>
      <c r="B35" s="198" t="s">
        <v>522</v>
      </c>
      <c r="C35" s="198" t="s">
        <v>567</v>
      </c>
      <c r="D35" s="200" t="s">
        <v>263</v>
      </c>
      <c r="E35" s="152" t="s">
        <v>529</v>
      </c>
      <c r="F35" s="197" t="s">
        <v>116</v>
      </c>
      <c r="G35" s="197" t="s">
        <v>67</v>
      </c>
      <c r="H35" s="201"/>
      <c r="I35" s="202"/>
      <c r="J35" s="212" t="s">
        <v>510</v>
      </c>
      <c r="K35" s="212" t="s">
        <v>175</v>
      </c>
      <c r="L35" s="197"/>
      <c r="M35" s="175">
        <f>'Lisa Sugiyanti'!C21</f>
        <v>3000000</v>
      </c>
      <c r="N35" s="175">
        <f>'Lisa Sugiyanti'!C36</f>
        <v>0</v>
      </c>
      <c r="O35" s="175">
        <f>'Lisa Sugiyanti'!D21</f>
        <v>3000000</v>
      </c>
      <c r="P35" s="175">
        <f>'Lisa Sugiyanti'!D36</f>
        <v>0</v>
      </c>
      <c r="Q35" s="175">
        <f>'Lisa Sugiyanti'!E21</f>
        <v>3000000</v>
      </c>
      <c r="R35" s="175">
        <f>'Lisa Sugiyanti'!E36</f>
        <v>0</v>
      </c>
      <c r="S35" s="175">
        <f>'Lisa Sugiyanti'!F21</f>
        <v>3000000</v>
      </c>
      <c r="T35" s="175">
        <f>'Lisa Sugiyanti'!F36</f>
        <v>0</v>
      </c>
      <c r="U35" s="175">
        <f>'Lisa Sugiyanti'!P20</f>
        <v>3000000</v>
      </c>
      <c r="V35" s="175">
        <f>'Lisa Sugiyanti'!P37</f>
        <v>0</v>
      </c>
      <c r="W35" s="175">
        <f>'Lisa Sugiyanti'!G21</f>
        <v>3000000</v>
      </c>
      <c r="X35" s="175">
        <f>'Lisa Sugiyanti'!G36</f>
        <v>0</v>
      </c>
      <c r="Y35" s="175">
        <f>'Lisa Sugiyanti'!H21</f>
        <v>3150000</v>
      </c>
      <c r="Z35" s="175">
        <f>'Lisa Sugiyanti'!H36</f>
        <v>0</v>
      </c>
      <c r="AA35" s="175">
        <f>'Lisa Sugiyanti'!I21</f>
        <v>3050000</v>
      </c>
      <c r="AB35" s="175">
        <f>'Lisa Sugiyanti'!I36</f>
        <v>0</v>
      </c>
      <c r="AC35" s="175">
        <f>'Lisa Sugiyanti'!J21</f>
        <v>3100000</v>
      </c>
      <c r="AD35" s="175">
        <f>'Lisa Sugiyanti'!J36</f>
        <v>0</v>
      </c>
      <c r="AE35" s="175">
        <f>'Lisa Sugiyanti'!K21</f>
        <v>3150000</v>
      </c>
      <c r="AF35" s="175">
        <f>'Lisa Sugiyanti'!K36</f>
        <v>0</v>
      </c>
      <c r="AG35" s="175">
        <f>'Lisa Sugiyanti'!L21</f>
        <v>3150000</v>
      </c>
      <c r="AH35" s="175">
        <f>'Lisa Sugiyanti'!L36</f>
        <v>0</v>
      </c>
      <c r="AI35" s="175">
        <f>'Lisa Sugiyanti'!M21</f>
        <v>3200000</v>
      </c>
      <c r="AJ35" s="175">
        <f>'Lisa Sugiyanti'!M36</f>
        <v>0</v>
      </c>
      <c r="AK35" s="175">
        <f>'Lisa Sugiyanti'!N21</f>
        <v>3300000</v>
      </c>
      <c r="AL35" s="175">
        <f>'Lisa Sugiyanti'!N36</f>
        <v>0</v>
      </c>
      <c r="AM35" s="187"/>
    </row>
    <row r="36" spans="1:39" ht="15.75" customHeight="1" x14ac:dyDescent="0.2">
      <c r="A36" s="197">
        <v>30</v>
      </c>
      <c r="B36" s="198" t="s">
        <v>522</v>
      </c>
      <c r="C36" s="200" t="s">
        <v>271</v>
      </c>
      <c r="D36" s="200" t="s">
        <v>272</v>
      </c>
      <c r="E36" s="154" t="s">
        <v>532</v>
      </c>
      <c r="F36" s="179" t="s">
        <v>148</v>
      </c>
      <c r="G36" s="197" t="s">
        <v>64</v>
      </c>
      <c r="H36" s="201"/>
      <c r="I36" s="202"/>
      <c r="J36" s="212" t="s">
        <v>487</v>
      </c>
      <c r="K36" s="212" t="s">
        <v>459</v>
      </c>
      <c r="L36" s="213" t="s">
        <v>446</v>
      </c>
      <c r="M36" s="175">
        <f>'Marjan Miharja'!C21</f>
        <v>11300000</v>
      </c>
      <c r="N36" s="175">
        <f>'Marjan Miharja'!C36</f>
        <v>240000</v>
      </c>
      <c r="O36" s="175">
        <f>'Marjan Miharja'!D21</f>
        <v>10125000</v>
      </c>
      <c r="P36" s="175">
        <f>'Marjan Miharja'!D36</f>
        <v>181250</v>
      </c>
      <c r="Q36" s="175">
        <f>'Marjan Miharja'!E21</f>
        <v>17985000</v>
      </c>
      <c r="R36" s="175">
        <f>'Marjan Miharja'!E36</f>
        <v>1065250</v>
      </c>
      <c r="S36" s="175">
        <f>'Marjan Miharja'!F21</f>
        <v>18225000</v>
      </c>
      <c r="T36" s="176">
        <f>'Marjan Miharja'!F36</f>
        <v>1258750</v>
      </c>
      <c r="U36" s="176">
        <f>'Marjan Miharja'!P20</f>
        <v>5000000</v>
      </c>
      <c r="V36" s="176">
        <f>'Marjan Miharja'!P37</f>
        <v>750000</v>
      </c>
      <c r="W36" s="176">
        <f>'Marjan Miharja'!G21</f>
        <v>17825000</v>
      </c>
      <c r="X36" s="176">
        <f>'Marjan Miharja'!G36</f>
        <v>1198750</v>
      </c>
      <c r="Y36" s="176">
        <f>'Marjan Miharja'!H21</f>
        <v>6400000</v>
      </c>
      <c r="Z36" s="176">
        <f>'Marjan Miharja'!H36</f>
        <v>-488000</v>
      </c>
      <c r="AA36" s="176">
        <f>'Marjan Miharja'!I21</f>
        <v>6400000</v>
      </c>
      <c r="AB36" s="176">
        <f>'Marjan Miharja'!I36</f>
        <v>-488000</v>
      </c>
      <c r="AC36" s="176">
        <f>'Marjan Miharja'!J21</f>
        <v>11750000</v>
      </c>
      <c r="AD36" s="176">
        <f>'Marjan Miharja'!J36</f>
        <v>287500</v>
      </c>
      <c r="AE36" s="176">
        <f>'Marjan Miharja'!K21</f>
        <v>17205000</v>
      </c>
      <c r="AF36" s="176">
        <f>'Marjan Miharja'!K36</f>
        <v>1105675</v>
      </c>
      <c r="AG36" s="176">
        <f>'Marjan Miharja'!L21</f>
        <v>13592000</v>
      </c>
      <c r="AH36" s="176">
        <f>'Marjan Miharja'!L36</f>
        <v>563825</v>
      </c>
      <c r="AI36" s="176">
        <f>'Marjan Miharja'!M21</f>
        <v>6400000</v>
      </c>
      <c r="AJ36" s="176">
        <f>'Marjan Miharja'!M36</f>
        <v>-488012.5</v>
      </c>
      <c r="AK36" s="176">
        <f>'Marjan Miharja'!N21</f>
        <v>11400000</v>
      </c>
      <c r="AL36" s="176">
        <f>'Marjan Miharja'!N36</f>
        <v>904062.5</v>
      </c>
      <c r="AM36" s="187"/>
    </row>
    <row r="37" spans="1:39" x14ac:dyDescent="0.2">
      <c r="A37" s="197">
        <v>31</v>
      </c>
      <c r="B37" s="198" t="s">
        <v>522</v>
      </c>
      <c r="C37" s="200" t="s">
        <v>279</v>
      </c>
      <c r="D37" s="200" t="s">
        <v>434</v>
      </c>
      <c r="E37" s="152" t="s">
        <v>529</v>
      </c>
      <c r="F37" s="197" t="s">
        <v>116</v>
      </c>
      <c r="G37" s="197" t="s">
        <v>67</v>
      </c>
      <c r="H37" s="211"/>
      <c r="I37" s="202"/>
      <c r="J37" s="212" t="s">
        <v>511</v>
      </c>
      <c r="K37" s="212" t="s">
        <v>175</v>
      </c>
      <c r="L37" s="197"/>
      <c r="M37" s="175">
        <f>'Melvalita Widyawati'!C21</f>
        <v>4900000</v>
      </c>
      <c r="N37" s="175">
        <f>'Melvalita Widyawati'!C36</f>
        <v>9300</v>
      </c>
      <c r="O37" s="175">
        <f>'Melvalita Widyawati'!D21</f>
        <v>3000000</v>
      </c>
      <c r="P37" s="175">
        <f>'Melvalita Widyawati'!D36</f>
        <v>-9300</v>
      </c>
      <c r="Q37" s="175">
        <f>'Melvalita Widyawati'!E21</f>
        <v>3000000</v>
      </c>
      <c r="R37" s="175">
        <f>'Melvalita Widyawati'!E36</f>
        <v>0</v>
      </c>
      <c r="S37" s="175">
        <f>'Melvalita Widyawati'!F21</f>
        <v>3000000</v>
      </c>
      <c r="T37" s="175">
        <f>'Melvalita Widyawati'!F36</f>
        <v>0</v>
      </c>
      <c r="U37" s="175">
        <f>'Melvalita Widyawati'!P20</f>
        <v>3000000</v>
      </c>
      <c r="V37" s="175">
        <f>'Melvalita Widyawati'!P37</f>
        <v>0</v>
      </c>
      <c r="W37" s="175">
        <f>'Melvalita Widyawati'!G21</f>
        <v>3000000</v>
      </c>
      <c r="X37" s="175">
        <f>'Melvalita Widyawati'!G36</f>
        <v>0</v>
      </c>
      <c r="Y37" s="175">
        <f>'Melvalita Widyawati'!H21</f>
        <v>3000000</v>
      </c>
      <c r="Z37" s="175">
        <f>'Melvalita Widyawati'!H36</f>
        <v>0</v>
      </c>
      <c r="AA37" s="175">
        <f>'Melvalita Widyawati'!I21</f>
        <v>3200000</v>
      </c>
      <c r="AB37" s="175">
        <f>'Melvalita Widyawati'!I36</f>
        <v>0</v>
      </c>
      <c r="AC37" s="175">
        <f>'Melvalita Widyawati'!J21</f>
        <v>3125000</v>
      </c>
      <c r="AD37" s="175">
        <f>'Melvalita Widyawati'!J36</f>
        <v>0</v>
      </c>
      <c r="AE37" s="175">
        <f>'Melvalita Widyawati'!K21</f>
        <v>3550000</v>
      </c>
      <c r="AF37" s="175">
        <f>'Melvalita Widyawati'!K36</f>
        <v>0</v>
      </c>
      <c r="AG37" s="175">
        <f>'Melvalita Widyawati'!L21</f>
        <v>3550000</v>
      </c>
      <c r="AH37" s="175">
        <f>'Melvalita Widyawati'!L36</f>
        <v>0</v>
      </c>
      <c r="AI37" s="175">
        <f>'Melvalita Widyawati'!M21</f>
        <v>3700000</v>
      </c>
      <c r="AJ37" s="175">
        <f>'Melvalita Widyawati'!M36</f>
        <v>0</v>
      </c>
      <c r="AK37" s="175">
        <f>'Melvalita Widyawati'!N21</f>
        <v>3550000</v>
      </c>
      <c r="AL37" s="175">
        <f>'Melvalita Widyawati'!N36</f>
        <v>0</v>
      </c>
      <c r="AM37" s="187"/>
    </row>
    <row r="38" spans="1:39" x14ac:dyDescent="0.2">
      <c r="A38" s="197">
        <v>32</v>
      </c>
      <c r="B38" s="198" t="s">
        <v>522</v>
      </c>
      <c r="C38" s="200"/>
      <c r="D38" s="200" t="s">
        <v>287</v>
      </c>
      <c r="E38" s="152" t="s">
        <v>529</v>
      </c>
      <c r="F38" s="216" t="s">
        <v>148</v>
      </c>
      <c r="G38" s="197" t="s">
        <v>64</v>
      </c>
      <c r="H38" s="201"/>
      <c r="I38" s="202"/>
      <c r="J38" s="212" t="s">
        <v>497</v>
      </c>
      <c r="K38" s="212" t="s">
        <v>288</v>
      </c>
      <c r="L38" s="213" t="s">
        <v>446</v>
      </c>
      <c r="M38" s="175">
        <f>'Misbahul Huda'!C21</f>
        <v>4000000</v>
      </c>
      <c r="N38" s="175">
        <f>'Misbahul Huda'!C36</f>
        <v>0</v>
      </c>
      <c r="O38" s="175">
        <f>'Misbahul Huda'!D21</f>
        <v>6500000</v>
      </c>
      <c r="P38" s="175">
        <f>'Misbahul Huda'!D36</f>
        <v>0</v>
      </c>
      <c r="Q38" s="175">
        <f>'Misbahul Huda'!E21</f>
        <v>13560000</v>
      </c>
      <c r="R38" s="175">
        <f>'Misbahul Huda'!E36</f>
        <v>302100</v>
      </c>
      <c r="S38" s="175">
        <f>'Misbahul Huda'!F21</f>
        <v>9625000</v>
      </c>
      <c r="T38" s="175">
        <f>'Misbahul Huda'!F36</f>
        <v>188619.99999999994</v>
      </c>
      <c r="U38" s="175">
        <f>'Misbahul Huda'!P20</f>
        <v>4000000</v>
      </c>
      <c r="V38" s="175">
        <f>'Misbahul Huda'!P37</f>
        <v>228000</v>
      </c>
      <c r="W38" s="175">
        <f>'Misbahul Huda'!G21</f>
        <v>14200000</v>
      </c>
      <c r="X38" s="175">
        <f>'Misbahul Huda'!G36</f>
        <v>462005.00000000006</v>
      </c>
      <c r="Y38" s="175">
        <f>'Misbahul Huda'!H21</f>
        <v>5900000</v>
      </c>
      <c r="Z38" s="175">
        <f>'Misbahul Huda'!H36</f>
        <v>-23715</v>
      </c>
      <c r="AA38" s="175">
        <f>'Misbahul Huda'!I$21</f>
        <v>4000000</v>
      </c>
      <c r="AB38" s="175">
        <f>'Misbahul Huda'!I36</f>
        <v>-131990.00000000012</v>
      </c>
      <c r="AC38" s="175">
        <f>'Misbahul Huda'!J21</f>
        <v>8200000</v>
      </c>
      <c r="AD38" s="175">
        <f>'Misbahul Huda'!J36</f>
        <v>107380</v>
      </c>
      <c r="AE38" s="175">
        <f>'Misbahul Huda'!K21</f>
        <v>4740000</v>
      </c>
      <c r="AF38" s="175">
        <f>'Misbahul Huda'!K36</f>
        <v>-89809.999999999884</v>
      </c>
      <c r="AG38" s="175">
        <f>'Misbahul Huda'!L21</f>
        <v>8096000</v>
      </c>
      <c r="AH38" s="175">
        <f>'Misbahul Huda'!L36</f>
        <v>101460</v>
      </c>
      <c r="AI38" s="175">
        <f>'Misbahul Huda'!M21</f>
        <v>0</v>
      </c>
      <c r="AJ38" s="175">
        <f>'Misbahul Huda'!M36</f>
        <v>-360000</v>
      </c>
      <c r="AK38" s="175">
        <f>'Misbahul Huda'!N21</f>
        <v>500000</v>
      </c>
      <c r="AL38" s="175">
        <f>'Misbahul Huda'!N36</f>
        <v>-198350</v>
      </c>
      <c r="AM38" s="187"/>
    </row>
    <row r="39" spans="1:39" x14ac:dyDescent="0.2">
      <c r="A39" s="197">
        <v>33</v>
      </c>
      <c r="B39" s="198" t="s">
        <v>522</v>
      </c>
      <c r="C39" s="198" t="s">
        <v>559</v>
      </c>
      <c r="D39" s="178" t="s">
        <v>528</v>
      </c>
      <c r="E39" s="152" t="s">
        <v>529</v>
      </c>
      <c r="F39" s="217" t="s">
        <v>148</v>
      </c>
      <c r="G39" s="197" t="s">
        <v>64</v>
      </c>
      <c r="H39" s="197"/>
      <c r="I39" s="197"/>
      <c r="J39" s="203" t="s">
        <v>539</v>
      </c>
      <c r="K39" s="212"/>
      <c r="L39" s="197"/>
      <c r="M39" s="175">
        <f>'Naufal Nurrohman'!C21</f>
        <v>0</v>
      </c>
      <c r="N39" s="175">
        <f>'Naufal Nurrohman'!C36</f>
        <v>0</v>
      </c>
      <c r="O39" s="175">
        <f>'Naufal Nurrohman'!D21</f>
        <v>0</v>
      </c>
      <c r="P39" s="175">
        <f>'Naufal Nurrohman'!D36</f>
        <v>0</v>
      </c>
      <c r="Q39" s="175">
        <f>'Naufal Nurrohman'!E21</f>
        <v>0</v>
      </c>
      <c r="R39" s="175">
        <f>'Naufal Nurrohman'!E36</f>
        <v>0</v>
      </c>
      <c r="S39" s="175">
        <f>'Naufal Nurrohman'!F21</f>
        <v>0</v>
      </c>
      <c r="T39" s="175">
        <f>'Naufal Nurrohman'!F36</f>
        <v>0</v>
      </c>
      <c r="U39" s="175">
        <f>'Naufal Nurrohman'!P20</f>
        <v>0</v>
      </c>
      <c r="V39" s="175">
        <f>'Naufal Nurrohman'!P37</f>
        <v>0</v>
      </c>
      <c r="W39" s="175">
        <f>'Naufal Nurrohman'!G21</f>
        <v>0</v>
      </c>
      <c r="X39" s="175">
        <f>'Naufal Nurrohman'!G36</f>
        <v>0</v>
      </c>
      <c r="Y39" s="175">
        <f>'Naufal Nurrohman'!H21</f>
        <v>0</v>
      </c>
      <c r="Z39" s="175">
        <f>'Naufal Nurrohman'!H36</f>
        <v>0</v>
      </c>
      <c r="AA39" s="175">
        <f>'Naufal Nurrohman'!I21</f>
        <v>0</v>
      </c>
      <c r="AB39" s="175">
        <f>'Naufal Nurrohman'!I36</f>
        <v>0</v>
      </c>
      <c r="AC39" s="175">
        <f>'Naufal Nurrohman'!J21</f>
        <v>0</v>
      </c>
      <c r="AD39" s="175">
        <f>'Naufal Nurrohman'!J36</f>
        <v>0</v>
      </c>
      <c r="AE39" s="175">
        <f>'Naufal Nurrohman'!K21</f>
        <v>0</v>
      </c>
      <c r="AF39" s="175">
        <f>'Naufal Nurrohman'!K36</f>
        <v>0</v>
      </c>
      <c r="AG39" s="175">
        <f>'Naufal Nurrohman'!L21</f>
        <v>0</v>
      </c>
      <c r="AH39" s="175">
        <f>'Naufal Nurrohman'!L36</f>
        <v>0</v>
      </c>
      <c r="AI39" s="175">
        <f>'Naufal Nurrohman'!M21</f>
        <v>0</v>
      </c>
      <c r="AJ39" s="175">
        <f>'Naufal Nurrohman'!M36</f>
        <v>0</v>
      </c>
      <c r="AK39" s="175">
        <f>'Naufal Nurrohman'!N21</f>
        <v>0</v>
      </c>
      <c r="AL39" s="175">
        <f>'Naufal Nurrohman'!N36</f>
        <v>0</v>
      </c>
      <c r="AM39" s="187"/>
    </row>
    <row r="40" spans="1:39" x14ac:dyDescent="0.2">
      <c r="A40" s="197">
        <v>34</v>
      </c>
      <c r="B40" s="198" t="s">
        <v>522</v>
      </c>
      <c r="C40" s="198" t="s">
        <v>560</v>
      </c>
      <c r="D40" s="178" t="s">
        <v>540</v>
      </c>
      <c r="E40" s="152" t="s">
        <v>529</v>
      </c>
      <c r="F40" s="211" t="s">
        <v>116</v>
      </c>
      <c r="G40" s="197" t="s">
        <v>67</v>
      </c>
      <c r="H40" s="202"/>
      <c r="I40" s="197"/>
      <c r="J40" s="203" t="s">
        <v>541</v>
      </c>
      <c r="K40" s="212"/>
      <c r="L40" s="197"/>
      <c r="M40" s="175">
        <f>'Novia Eka Angraini'!C17</f>
        <v>0</v>
      </c>
      <c r="N40" s="175">
        <f>'Novia Eka Angraini'!C32</f>
        <v>0</v>
      </c>
      <c r="O40" s="175">
        <f>'Novia Eka Angraini'!D17</f>
        <v>0</v>
      </c>
      <c r="P40" s="175">
        <f>'Novia Eka Angraini'!D32</f>
        <v>0</v>
      </c>
      <c r="Q40" s="175">
        <f>'Novia Eka Angraini'!E17</f>
        <v>0</v>
      </c>
      <c r="R40" s="175">
        <f>'Novia Eka Angraini'!E32</f>
        <v>0</v>
      </c>
      <c r="S40" s="175">
        <f>'Novia Eka Angraini'!F17</f>
        <v>0</v>
      </c>
      <c r="T40" s="175">
        <f>'Novia Eka Angraini'!F32</f>
        <v>0</v>
      </c>
      <c r="U40" s="175">
        <f>'Novia Eka Angraini'!P16</f>
        <v>0</v>
      </c>
      <c r="V40" s="175">
        <f>'Novia Eka Angraini'!P33</f>
        <v>0</v>
      </c>
      <c r="W40" s="175">
        <f>'Novia Eka Angraini'!G17</f>
        <v>0</v>
      </c>
      <c r="X40" s="175">
        <f>'Novia Eka Angraini'!G32</f>
        <v>0</v>
      </c>
      <c r="Y40" s="175">
        <f>'Novia Eka Angraini'!H17</f>
        <v>0</v>
      </c>
      <c r="Z40" s="175">
        <f>'Novia Eka Angraini'!H32</f>
        <v>0</v>
      </c>
      <c r="AA40" s="175">
        <f>'Novia Eka Angraini'!I17</f>
        <v>0</v>
      </c>
      <c r="AB40" s="175">
        <f>'Novia Eka Angraini'!I32</f>
        <v>0</v>
      </c>
      <c r="AC40" s="175">
        <f>'Novia Eka Angraini'!J17</f>
        <v>0</v>
      </c>
      <c r="AD40" s="175">
        <f>'Novia Eka Angraini'!J32</f>
        <v>0</v>
      </c>
      <c r="AE40" s="175">
        <f>'Novia Eka Angraini'!K17</f>
        <v>0</v>
      </c>
      <c r="AF40" s="175">
        <f>'Novia Eka Angraini'!K32</f>
        <v>0</v>
      </c>
      <c r="AG40" s="175">
        <f>'Novia Eka Angraini'!L17</f>
        <v>0</v>
      </c>
      <c r="AH40" s="175">
        <f>'Novia Eka Angraini'!L32</f>
        <v>0</v>
      </c>
      <c r="AI40" s="175">
        <f>'Novia Eka Angraini'!M17</f>
        <v>0</v>
      </c>
      <c r="AJ40" s="175">
        <f>'Novia Eka Angraini'!M32</f>
        <v>0</v>
      </c>
      <c r="AK40" s="175">
        <f>'Novia Eka Angraini'!N17</f>
        <v>0</v>
      </c>
      <c r="AL40" s="175">
        <f>'Novia Eka Angraini'!N32</f>
        <v>0</v>
      </c>
      <c r="AM40" s="187"/>
    </row>
    <row r="41" spans="1:39" x14ac:dyDescent="0.2">
      <c r="A41" s="197">
        <v>35</v>
      </c>
      <c r="B41" s="198" t="s">
        <v>522</v>
      </c>
      <c r="C41" s="198"/>
      <c r="D41" s="178" t="s">
        <v>556</v>
      </c>
      <c r="E41" s="152" t="s">
        <v>529</v>
      </c>
      <c r="F41" s="211" t="s">
        <v>148</v>
      </c>
      <c r="G41" s="197" t="s">
        <v>64</v>
      </c>
      <c r="H41" s="202"/>
      <c r="I41" s="197"/>
      <c r="J41" s="203" t="s">
        <v>541</v>
      </c>
      <c r="K41" s="212"/>
      <c r="L41" s="197"/>
      <c r="M41" s="175">
        <f>'Nurfani Riadi'!C17</f>
        <v>0</v>
      </c>
      <c r="N41" s="175">
        <f>'Nurfani Riadi'!C32</f>
        <v>0</v>
      </c>
      <c r="O41" s="175">
        <f>'Nurfani Riadi'!D17</f>
        <v>0</v>
      </c>
      <c r="P41" s="175">
        <f>'Nurfani Riadi'!D33</f>
        <v>0</v>
      </c>
      <c r="Q41" s="175">
        <f>'Nurfani Riadi'!E17</f>
        <v>0</v>
      </c>
      <c r="R41" s="175">
        <f>'Nurfani Riadi'!E33</f>
        <v>0</v>
      </c>
      <c r="S41" s="175">
        <f>'Nurfani Riadi'!F17</f>
        <v>0</v>
      </c>
      <c r="T41" s="175">
        <f>'Nurfani Riadi'!F32</f>
        <v>0</v>
      </c>
      <c r="U41" s="175">
        <f>'Nurfani Riadi'!P16</f>
        <v>0</v>
      </c>
      <c r="V41" s="175">
        <f>'Nurfani Riadi'!P33</f>
        <v>0</v>
      </c>
      <c r="W41" s="175">
        <f>'Nurfani Riadi'!G17</f>
        <v>0</v>
      </c>
      <c r="X41" s="175">
        <f>'Nurfani Riadi'!G32</f>
        <v>0</v>
      </c>
      <c r="Y41" s="175">
        <f>'Nurfani Riadi'!H17</f>
        <v>0</v>
      </c>
      <c r="Z41" s="175">
        <f>'Nurfani Riadi'!H32</f>
        <v>0</v>
      </c>
      <c r="AA41" s="175">
        <f>'Nurfani Riadi'!I17</f>
        <v>0</v>
      </c>
      <c r="AB41" s="175">
        <f>'Nurfani Riadi'!I32</f>
        <v>0</v>
      </c>
      <c r="AC41" s="175">
        <f>'Nurfani Riadi'!J17</f>
        <v>0</v>
      </c>
      <c r="AD41" s="175">
        <f>'Nurfani Riadi'!J32</f>
        <v>0</v>
      </c>
      <c r="AE41" s="175">
        <f>'Nurfani Riadi'!K17</f>
        <v>0</v>
      </c>
      <c r="AF41" s="175">
        <f>'Nurfani Riadi'!K32</f>
        <v>0</v>
      </c>
      <c r="AG41" s="175">
        <f>'Nurfani Riadi'!L17</f>
        <v>0</v>
      </c>
      <c r="AH41" s="175">
        <f>'Nurfani Riadi'!L32</f>
        <v>0</v>
      </c>
      <c r="AI41" s="175">
        <f>'Nurfani Riadi'!M17</f>
        <v>0</v>
      </c>
      <c r="AJ41" s="175">
        <f>'Nurfani Riadi'!M32</f>
        <v>0</v>
      </c>
      <c r="AK41" s="175">
        <f>'Nurfani Riadi'!N17</f>
        <v>0</v>
      </c>
      <c r="AL41" s="175">
        <f>'Nurfani Riadi'!N32</f>
        <v>0</v>
      </c>
      <c r="AM41" s="187"/>
    </row>
    <row r="42" spans="1:39" x14ac:dyDescent="0.2">
      <c r="A42" s="197">
        <v>36</v>
      </c>
      <c r="B42" s="198" t="s">
        <v>522</v>
      </c>
      <c r="C42" s="198" t="s">
        <v>568</v>
      </c>
      <c r="D42" s="178" t="s">
        <v>437</v>
      </c>
      <c r="E42" s="152" t="s">
        <v>529</v>
      </c>
      <c r="F42" s="211" t="s">
        <v>148</v>
      </c>
      <c r="G42" s="197" t="s">
        <v>64</v>
      </c>
      <c r="H42" s="197"/>
      <c r="I42" s="197"/>
      <c r="J42" s="212" t="s">
        <v>517</v>
      </c>
      <c r="K42" s="212" t="s">
        <v>480</v>
      </c>
      <c r="L42" s="197"/>
      <c r="M42" s="175">
        <f>Priantoro!C17</f>
        <v>0</v>
      </c>
      <c r="N42" s="175">
        <f>Priantoro!C32</f>
        <v>0</v>
      </c>
      <c r="O42" s="175">
        <f>Priantoro!D17</f>
        <v>0</v>
      </c>
      <c r="P42" s="175">
        <f>Priantoro!D32</f>
        <v>0</v>
      </c>
      <c r="Q42" s="175">
        <f>Priantoro!E17</f>
        <v>0</v>
      </c>
      <c r="R42" s="175">
        <f>Priantoro!E32</f>
        <v>0</v>
      </c>
      <c r="S42" s="175">
        <f>Priantoro!F17</f>
        <v>0</v>
      </c>
      <c r="T42" s="175">
        <f>Priantoro!F32</f>
        <v>0</v>
      </c>
      <c r="U42" s="175">
        <f>Priantoro!P16</f>
        <v>0</v>
      </c>
      <c r="V42" s="175">
        <f>Priantoro!P33</f>
        <v>0</v>
      </c>
      <c r="W42" s="175">
        <f>Priantoro!G17</f>
        <v>0</v>
      </c>
      <c r="X42" s="175">
        <f>Priantoro!G32</f>
        <v>0</v>
      </c>
      <c r="Y42" s="175">
        <f>Priantoro!H17</f>
        <v>0</v>
      </c>
      <c r="Z42" s="175">
        <f>Priantoro!H32</f>
        <v>0</v>
      </c>
      <c r="AA42" s="175">
        <f>Priantoro!I17</f>
        <v>0</v>
      </c>
      <c r="AB42" s="175">
        <f>Priantoro!I32</f>
        <v>0</v>
      </c>
      <c r="AC42" s="175">
        <f>Priantoro!J17</f>
        <v>0</v>
      </c>
      <c r="AD42" s="175">
        <f>Priantoro!J32</f>
        <v>0</v>
      </c>
      <c r="AE42" s="175">
        <f>Priantoro!K17</f>
        <v>0</v>
      </c>
      <c r="AF42" s="175">
        <f>Priantoro!K32</f>
        <v>0</v>
      </c>
      <c r="AG42" s="175">
        <f>Priantoro!L17</f>
        <v>0</v>
      </c>
      <c r="AH42" s="175">
        <f>Priantoro!L32</f>
        <v>0</v>
      </c>
      <c r="AI42" s="175">
        <f>Priantoro!M17</f>
        <v>0</v>
      </c>
      <c r="AJ42" s="175">
        <f>Priantoro!M32</f>
        <v>0</v>
      </c>
      <c r="AK42" s="175">
        <f>Priantoro!N17</f>
        <v>0</v>
      </c>
      <c r="AL42" s="175">
        <f>Priantoro!N32</f>
        <v>0</v>
      </c>
      <c r="AM42" s="187"/>
    </row>
    <row r="43" spans="1:39" x14ac:dyDescent="0.2">
      <c r="A43" s="197">
        <v>37</v>
      </c>
      <c r="B43" s="198" t="s">
        <v>522</v>
      </c>
      <c r="C43" s="198" t="s">
        <v>569</v>
      </c>
      <c r="D43" s="200" t="s">
        <v>303</v>
      </c>
      <c r="E43" s="152" t="s">
        <v>529</v>
      </c>
      <c r="F43" s="153" t="s">
        <v>148</v>
      </c>
      <c r="G43" s="197" t="s">
        <v>64</v>
      </c>
      <c r="H43" s="218">
        <v>44200</v>
      </c>
      <c r="I43" s="202"/>
      <c r="J43" s="203" t="s">
        <v>485</v>
      </c>
      <c r="K43" s="203" t="s">
        <v>521</v>
      </c>
      <c r="L43" s="219"/>
      <c r="M43" s="177">
        <f>'Radika Husaini'!C21</f>
        <v>5000000</v>
      </c>
      <c r="N43" s="177">
        <f>'Radika Husaini'!C36</f>
        <v>0</v>
      </c>
      <c r="O43" s="177">
        <f>'Radika Husaini'!D21</f>
        <v>5000000</v>
      </c>
      <c r="P43" s="177">
        <f>'Radika Husaini'!D36</f>
        <v>0</v>
      </c>
      <c r="Q43" s="177">
        <f>'Radika Husaini'!E21</f>
        <v>5000000</v>
      </c>
      <c r="R43" s="177">
        <f>'Radika Husaini'!E36</f>
        <v>0</v>
      </c>
      <c r="S43" s="177">
        <f>'Radika Husaini'!F21</f>
        <v>5000000</v>
      </c>
      <c r="T43" s="173">
        <f>'Radika Husaini'!F36</f>
        <v>0</v>
      </c>
      <c r="U43" s="173">
        <f>'Radika Husaini'!P20</f>
        <v>5000000</v>
      </c>
      <c r="V43" s="173">
        <f>'Radika Husaini'!P37</f>
        <v>0</v>
      </c>
      <c r="W43" s="173">
        <f>'Radika Husaini'!G21</f>
        <v>5000000</v>
      </c>
      <c r="X43" s="173">
        <f>'Radika Husaini'!G36</f>
        <v>0</v>
      </c>
      <c r="Y43" s="173">
        <f>'Radika Husaini'!H21</f>
        <v>5000000</v>
      </c>
      <c r="Z43" s="173">
        <f>'Radika Husaini'!H36</f>
        <v>0</v>
      </c>
      <c r="AA43" s="173">
        <f>'Radika Husaini'!I21</f>
        <v>5000000</v>
      </c>
      <c r="AB43" s="173">
        <f>'Radika Husaini'!I36</f>
        <v>0</v>
      </c>
      <c r="AC43" s="173">
        <f>'Radika Husaini'!J21</f>
        <v>5000000</v>
      </c>
      <c r="AD43" s="173">
        <f>'Radika Husaini'!J36</f>
        <v>0</v>
      </c>
      <c r="AE43" s="173">
        <f>'Radika Husaini'!K21</f>
        <v>5000000</v>
      </c>
      <c r="AF43" s="173">
        <f>'Radika Husaini'!K36</f>
        <v>0</v>
      </c>
      <c r="AG43" s="173">
        <f>'Radika Husaini'!L21</f>
        <v>5000000</v>
      </c>
      <c r="AH43" s="173">
        <f>'Radika Husaini'!L36</f>
        <v>0</v>
      </c>
      <c r="AI43" s="173">
        <f>'Radika Husaini'!M21</f>
        <v>5000000</v>
      </c>
      <c r="AJ43" s="173">
        <f>'Radika Husaini'!M36</f>
        <v>0</v>
      </c>
      <c r="AK43" s="173">
        <f>'Radika Husaini'!N21</f>
        <v>5000000</v>
      </c>
      <c r="AL43" s="173">
        <f>'Radika Husaini'!N36</f>
        <v>0</v>
      </c>
      <c r="AM43" s="187"/>
    </row>
    <row r="44" spans="1:39" x14ac:dyDescent="0.2">
      <c r="A44" s="197">
        <v>38</v>
      </c>
      <c r="B44" s="198" t="s">
        <v>522</v>
      </c>
      <c r="C44" s="198" t="s">
        <v>536</v>
      </c>
      <c r="D44" s="200" t="s">
        <v>429</v>
      </c>
      <c r="E44" s="152" t="s">
        <v>529</v>
      </c>
      <c r="F44" s="179" t="s">
        <v>116</v>
      </c>
      <c r="G44" s="197" t="s">
        <v>67</v>
      </c>
      <c r="H44" s="201"/>
      <c r="I44" s="202"/>
      <c r="J44" s="203" t="s">
        <v>538</v>
      </c>
      <c r="K44" s="212" t="s">
        <v>463</v>
      </c>
      <c r="L44" s="197"/>
      <c r="M44" s="175">
        <f>'Rani Yuwafi'!C21</f>
        <v>5000000</v>
      </c>
      <c r="N44" s="175">
        <f>'Rani Yuwafi'!C36</f>
        <v>15000</v>
      </c>
      <c r="O44" s="175">
        <f>'Rani Yuwafi'!D21</f>
        <v>5400000</v>
      </c>
      <c r="P44" s="175">
        <f>'Rani Yuwafi'!D36</f>
        <v>37800</v>
      </c>
      <c r="Q44" s="175">
        <f>'Rani Yuwafi'!E21</f>
        <v>7000000</v>
      </c>
      <c r="R44" s="175">
        <f>'Rani Yuwafi'!E36</f>
        <v>129000</v>
      </c>
      <c r="S44" s="175">
        <f>'Rani Yuwafi'!F21</f>
        <v>5000000</v>
      </c>
      <c r="T44" s="176">
        <f>'Rani Yuwafi'!F36</f>
        <v>15000</v>
      </c>
      <c r="U44" s="176">
        <f>'Rani Yuwafi'!P20</f>
        <v>5000000</v>
      </c>
      <c r="V44" s="176">
        <f>'Rani Yuwafi'!P37</f>
        <v>285000</v>
      </c>
      <c r="W44" s="176">
        <f>'Rani Yuwafi'!G21</f>
        <v>5000000</v>
      </c>
      <c r="X44" s="176">
        <f>'Rani Yuwafi'!G36</f>
        <v>15000</v>
      </c>
      <c r="Y44" s="176">
        <f>'Rani Yuwafi'!H21</f>
        <v>5000000</v>
      </c>
      <c r="Z44" s="176">
        <f>'Rani Yuwafi'!H36</f>
        <v>15000</v>
      </c>
      <c r="AA44" s="176">
        <f>'Rani Yuwafi'!I21</f>
        <v>5000000</v>
      </c>
      <c r="AB44" s="176">
        <f>'Rani Yuwafi'!I36</f>
        <v>14979.999999999971</v>
      </c>
      <c r="AC44" s="176">
        <f>'Rani Yuwafi'!J21</f>
        <v>5000000</v>
      </c>
      <c r="AD44" s="176">
        <f>'Rani Yuwafi'!J36</f>
        <v>15020.000000000029</v>
      </c>
      <c r="AE44" s="176">
        <f>'Rani Yuwafi'!K21</f>
        <v>12985000</v>
      </c>
      <c r="AF44" s="176">
        <f>'Rani Yuwafi'!K36</f>
        <v>479085</v>
      </c>
      <c r="AG44" s="176">
        <f>'Rani Yuwafi'!L21</f>
        <v>5625000</v>
      </c>
      <c r="AH44" s="176">
        <f>'Rani Yuwafi'!L36</f>
        <v>50615.000000000116</v>
      </c>
      <c r="AI44" s="176">
        <f>'Rani Yuwafi'!M21</f>
        <v>5000000</v>
      </c>
      <c r="AJ44" s="176">
        <f>'Rani Yuwafi'!M36</f>
        <v>15015</v>
      </c>
      <c r="AK44" s="176">
        <f>'Rani Yuwafi'!N21</f>
        <v>5000000</v>
      </c>
      <c r="AL44" s="176">
        <f>'Rani Yuwafi'!N36</f>
        <v>291024.99999999988</v>
      </c>
      <c r="AM44" s="187"/>
    </row>
    <row r="45" spans="1:39" x14ac:dyDescent="0.2">
      <c r="A45" s="197">
        <v>39</v>
      </c>
      <c r="B45" s="198" t="s">
        <v>522</v>
      </c>
      <c r="C45" s="200"/>
      <c r="D45" s="178" t="s">
        <v>438</v>
      </c>
      <c r="E45" s="152" t="s">
        <v>529</v>
      </c>
      <c r="F45" s="211" t="s">
        <v>116</v>
      </c>
      <c r="G45" s="197" t="s">
        <v>67</v>
      </c>
      <c r="H45" s="197"/>
      <c r="I45" s="197"/>
      <c r="J45" s="212"/>
      <c r="K45" s="212"/>
      <c r="L45" s="197"/>
      <c r="M45" s="175">
        <f>'Riska Pramelia'!C17</f>
        <v>0</v>
      </c>
      <c r="N45" s="175">
        <f>'Riska Pramelia'!C32</f>
        <v>0</v>
      </c>
      <c r="O45" s="175">
        <f>'Riska Pramelia'!D17</f>
        <v>0</v>
      </c>
      <c r="P45" s="175">
        <f>'Riska Pramelia'!D32</f>
        <v>0</v>
      </c>
      <c r="Q45" s="175">
        <f>'Riska Pramelia'!E17</f>
        <v>0</v>
      </c>
      <c r="R45" s="175">
        <f>'Riska Pramelia'!E32</f>
        <v>0</v>
      </c>
      <c r="S45" s="175">
        <f>'Riska Pramelia'!F17</f>
        <v>0</v>
      </c>
      <c r="T45" s="175">
        <f>'Riska Pramelia'!F32</f>
        <v>0</v>
      </c>
      <c r="U45" s="175">
        <f>'Riska Pramelia'!P16</f>
        <v>0</v>
      </c>
      <c r="V45" s="175">
        <f>'Riska Pramelia'!P33</f>
        <v>0</v>
      </c>
      <c r="W45" s="175">
        <f>'Riska Pramelia'!G17</f>
        <v>0</v>
      </c>
      <c r="X45" s="175">
        <f>'Riska Pramelia'!G32</f>
        <v>0</v>
      </c>
      <c r="Y45" s="175">
        <f>'Riska Pramelia'!H17</f>
        <v>0</v>
      </c>
      <c r="Z45" s="175">
        <f>'Riska Pramelia'!H32</f>
        <v>0</v>
      </c>
      <c r="AA45" s="175">
        <f>'Riska Pramelia'!I17</f>
        <v>0</v>
      </c>
      <c r="AB45" s="175">
        <f>'Riska Pramelia'!I32</f>
        <v>0</v>
      </c>
      <c r="AC45" s="175">
        <f>'Riska Pramelia'!J17</f>
        <v>0</v>
      </c>
      <c r="AD45" s="175">
        <f>'Riska Pramelia'!J32</f>
        <v>0</v>
      </c>
      <c r="AE45" s="175">
        <f>'Riska Pramelia'!K17</f>
        <v>0</v>
      </c>
      <c r="AF45" s="175">
        <f>'Riska Pramelia'!K32</f>
        <v>0</v>
      </c>
      <c r="AG45" s="175">
        <f>'Riska Pramelia'!L17</f>
        <v>0</v>
      </c>
      <c r="AH45" s="175">
        <f>'Riska Pramelia'!L32</f>
        <v>0</v>
      </c>
      <c r="AI45" s="175">
        <f>'Riska Pramelia'!M17</f>
        <v>0</v>
      </c>
      <c r="AJ45" s="175">
        <f>'Riska Pramelia'!M32</f>
        <v>0</v>
      </c>
      <c r="AK45" s="175">
        <f>'Riska Pramelia'!N17</f>
        <v>0</v>
      </c>
      <c r="AL45" s="175">
        <f>'Riska Pramelia'!N32</f>
        <v>0</v>
      </c>
      <c r="AM45" s="187"/>
    </row>
    <row r="46" spans="1:39" x14ac:dyDescent="0.2">
      <c r="A46" s="197">
        <v>40</v>
      </c>
      <c r="B46" s="198" t="s">
        <v>522</v>
      </c>
      <c r="C46" s="200" t="s">
        <v>311</v>
      </c>
      <c r="D46" s="200" t="s">
        <v>312</v>
      </c>
      <c r="E46" s="152" t="s">
        <v>529</v>
      </c>
      <c r="F46" s="197" t="s">
        <v>116</v>
      </c>
      <c r="G46" s="197" t="s">
        <v>67</v>
      </c>
      <c r="H46" s="201"/>
      <c r="I46" s="202"/>
      <c r="J46" s="212" t="s">
        <v>509</v>
      </c>
      <c r="K46" s="212" t="s">
        <v>175</v>
      </c>
      <c r="L46" s="197"/>
      <c r="M46" s="175">
        <f>'Salma Fadillah'!C21</f>
        <v>2500000</v>
      </c>
      <c r="N46" s="175">
        <f>'Salma Fadillah'!C36</f>
        <v>0</v>
      </c>
      <c r="O46" s="175">
        <f>'Salma Fadillah'!D21</f>
        <v>2500000</v>
      </c>
      <c r="P46" s="175">
        <f>'Salma Fadillah'!D36</f>
        <v>0</v>
      </c>
      <c r="Q46" s="175">
        <f>'Salma Fadillah'!E21</f>
        <v>2500000</v>
      </c>
      <c r="R46" s="175">
        <f>'Salma Fadillah'!E36</f>
        <v>0</v>
      </c>
      <c r="S46" s="175">
        <f>'Salma Fadillah'!F21</f>
        <v>2500000</v>
      </c>
      <c r="T46" s="175">
        <f>'Salma Fadillah'!F36</f>
        <v>0</v>
      </c>
      <c r="U46" s="175">
        <f>'Salma Fadillah'!P20</f>
        <v>2000000</v>
      </c>
      <c r="V46" s="175">
        <f>'Salma Fadillah'!P37</f>
        <v>0</v>
      </c>
      <c r="W46" s="175">
        <f>'Salma Fadillah'!G21</f>
        <v>2500000</v>
      </c>
      <c r="X46" s="175">
        <f>'Salma Fadillah'!G36</f>
        <v>0</v>
      </c>
      <c r="Y46" s="175">
        <f>'Salma Fadillah'!H21</f>
        <v>2550000</v>
      </c>
      <c r="Z46" s="175">
        <f>'Salma Fadillah'!H36</f>
        <v>0</v>
      </c>
      <c r="AA46" s="175">
        <f>'Salma Fadillah'!I21</f>
        <v>2550000</v>
      </c>
      <c r="AB46" s="175">
        <f>'Salma Fadillah'!I36</f>
        <v>0</v>
      </c>
      <c r="AC46" s="175">
        <f>'Salma Fadillah'!J21</f>
        <v>2600000</v>
      </c>
      <c r="AD46" s="175">
        <f>'Salma Fadillah'!J36</f>
        <v>0</v>
      </c>
      <c r="AE46" s="175">
        <f>'Salma Fadillah'!K21</f>
        <v>2550000</v>
      </c>
      <c r="AF46" s="175">
        <f>'Salma Fadillah'!K36</f>
        <v>0</v>
      </c>
      <c r="AG46" s="175">
        <f>'Salma Fadillah'!L21</f>
        <v>2550000</v>
      </c>
      <c r="AH46" s="175">
        <f>'Salma Fadillah'!L36</f>
        <v>0</v>
      </c>
      <c r="AI46" s="175">
        <f>'Salma Fadillah'!M21</f>
        <v>0</v>
      </c>
      <c r="AJ46" s="175">
        <f>'Salma Fadillah'!M36</f>
        <v>0</v>
      </c>
      <c r="AK46" s="175">
        <f>'Salma Fadillah'!N21</f>
        <v>0</v>
      </c>
      <c r="AL46" s="175">
        <f>'Salma Fadillah'!N36</f>
        <v>0</v>
      </c>
      <c r="AM46" s="187"/>
    </row>
    <row r="47" spans="1:39" x14ac:dyDescent="0.2">
      <c r="A47" s="197">
        <v>41</v>
      </c>
      <c r="B47" s="198" t="s">
        <v>522</v>
      </c>
      <c r="C47" s="200" t="s">
        <v>318</v>
      </c>
      <c r="D47" s="178" t="s">
        <v>319</v>
      </c>
      <c r="E47" s="152" t="s">
        <v>529</v>
      </c>
      <c r="F47" s="211" t="s">
        <v>148</v>
      </c>
      <c r="G47" s="197" t="s">
        <v>64</v>
      </c>
      <c r="H47" s="197"/>
      <c r="I47" s="197"/>
      <c r="J47" s="212" t="s">
        <v>516</v>
      </c>
      <c r="K47" s="212" t="s">
        <v>480</v>
      </c>
      <c r="L47" s="197"/>
      <c r="M47" s="175">
        <f>'Sandi Nugraha'!C21</f>
        <v>2500000</v>
      </c>
      <c r="N47" s="175">
        <f>'Sandi Nugraha'!C36</f>
        <v>0</v>
      </c>
      <c r="O47" s="175">
        <f>'Sandi Nugraha'!D21</f>
        <v>2500000</v>
      </c>
      <c r="P47" s="175">
        <f>'Sandi Nugraha'!D36</f>
        <v>0</v>
      </c>
      <c r="Q47" s="175">
        <f>'Sandi Nugraha'!E21</f>
        <v>2500000</v>
      </c>
      <c r="R47" s="175">
        <f>'Sandi Nugraha'!E36</f>
        <v>0</v>
      </c>
      <c r="S47" s="175">
        <f>'Sandi Nugraha'!F21</f>
        <v>2500000</v>
      </c>
      <c r="T47" s="175">
        <f>'Sandi Nugraha'!F36</f>
        <v>0</v>
      </c>
      <c r="U47" s="175">
        <f>'Sandi Nugraha'!P20</f>
        <v>2000000</v>
      </c>
      <c r="V47" s="175">
        <f>'Sandi Nugraha'!P37</f>
        <v>0</v>
      </c>
      <c r="W47" s="175">
        <f>'Sandi Nugraha'!G21</f>
        <v>2500000</v>
      </c>
      <c r="X47" s="175">
        <f>'Sandi Nugraha'!G36</f>
        <v>0</v>
      </c>
      <c r="Y47" s="175">
        <f>'Sandi Nugraha'!H21</f>
        <v>2600000</v>
      </c>
      <c r="Z47" s="175">
        <f>'Sandi Nugraha'!H36</f>
        <v>0</v>
      </c>
      <c r="AA47" s="175">
        <f>'Sandi Nugraha'!I21</f>
        <v>2600000</v>
      </c>
      <c r="AB47" s="175">
        <f>'Sandi Nugraha'!I36</f>
        <v>0</v>
      </c>
      <c r="AC47" s="175">
        <f>'Sandi Nugraha'!J21</f>
        <v>2650000</v>
      </c>
      <c r="AD47" s="175">
        <f>'Sandi Nugraha'!J36</f>
        <v>0</v>
      </c>
      <c r="AE47" s="175">
        <f>'Sandi Nugraha'!K21</f>
        <v>3050000</v>
      </c>
      <c r="AF47" s="175">
        <f>'Sandi Nugraha'!K36</f>
        <v>0</v>
      </c>
      <c r="AG47" s="175">
        <f>'Sandi Nugraha'!L21</f>
        <v>3050000</v>
      </c>
      <c r="AH47" s="175">
        <f>'Sandi Nugraha'!L36</f>
        <v>0</v>
      </c>
      <c r="AI47" s="175">
        <f>'Sandi Nugraha'!M21</f>
        <v>3000000</v>
      </c>
      <c r="AJ47" s="175">
        <f>'Sandi Nugraha'!M36</f>
        <v>0</v>
      </c>
      <c r="AK47" s="175">
        <f>'Sandi Nugraha'!N21</f>
        <v>3000000</v>
      </c>
      <c r="AL47" s="175">
        <f>'Sandi Nugraha'!N36</f>
        <v>0</v>
      </c>
      <c r="AM47" s="187"/>
    </row>
    <row r="48" spans="1:39" x14ac:dyDescent="0.2">
      <c r="A48" s="197">
        <v>42</v>
      </c>
      <c r="B48" s="198" t="s">
        <v>522</v>
      </c>
      <c r="C48" s="200"/>
      <c r="D48" s="178" t="s">
        <v>454</v>
      </c>
      <c r="E48" s="152" t="s">
        <v>529</v>
      </c>
      <c r="F48" s="211" t="s">
        <v>148</v>
      </c>
      <c r="G48" s="197" t="s">
        <v>64</v>
      </c>
      <c r="H48" s="214">
        <v>44228</v>
      </c>
      <c r="I48" s="197"/>
      <c r="J48" s="212"/>
      <c r="K48" s="212"/>
      <c r="L48" s="197"/>
      <c r="M48" s="175">
        <f>Security!C17</f>
        <v>0</v>
      </c>
      <c r="N48" s="175">
        <f>Security!C32</f>
        <v>0</v>
      </c>
      <c r="O48" s="175">
        <f>Security!D17</f>
        <v>0</v>
      </c>
      <c r="P48" s="175">
        <f>Security!D32</f>
        <v>0</v>
      </c>
      <c r="Q48" s="175">
        <f>Security!E17</f>
        <v>0</v>
      </c>
      <c r="R48" s="175">
        <f>Security!E32</f>
        <v>0</v>
      </c>
      <c r="S48" s="175">
        <f>Security!F17</f>
        <v>0</v>
      </c>
      <c r="T48" s="175">
        <f>Security!F32</f>
        <v>0</v>
      </c>
      <c r="U48" s="175">
        <f>Security!P16</f>
        <v>0</v>
      </c>
      <c r="V48" s="175">
        <f>Security!P33</f>
        <v>0</v>
      </c>
      <c r="W48" s="175">
        <f>Security!G17</f>
        <v>0</v>
      </c>
      <c r="X48" s="175">
        <f>Security!G32</f>
        <v>0</v>
      </c>
      <c r="Y48" s="175">
        <f>Security!H17</f>
        <v>0</v>
      </c>
      <c r="Z48" s="175">
        <f>Security!H32</f>
        <v>0</v>
      </c>
      <c r="AA48" s="175">
        <f>Security!I17</f>
        <v>0</v>
      </c>
      <c r="AB48" s="175">
        <f>Security!I32</f>
        <v>0</v>
      </c>
      <c r="AC48" s="175">
        <f>Security!J17</f>
        <v>0</v>
      </c>
      <c r="AD48" s="175">
        <f>Security!J32</f>
        <v>0</v>
      </c>
      <c r="AE48" s="175">
        <f>Security!K17</f>
        <v>0</v>
      </c>
      <c r="AF48" s="175">
        <f>Security!K32</f>
        <v>0</v>
      </c>
      <c r="AG48" s="175">
        <f>Security!L17</f>
        <v>0</v>
      </c>
      <c r="AH48" s="175">
        <f>Security!L32</f>
        <v>0</v>
      </c>
      <c r="AI48" s="175">
        <f>Security!M17</f>
        <v>0</v>
      </c>
      <c r="AJ48" s="175">
        <f>Security!M32</f>
        <v>0</v>
      </c>
      <c r="AK48" s="175">
        <f>Security!N17</f>
        <v>0</v>
      </c>
      <c r="AL48" s="175">
        <f>Security!N32</f>
        <v>0</v>
      </c>
      <c r="AM48" s="187"/>
    </row>
    <row r="49" spans="1:39" x14ac:dyDescent="0.2">
      <c r="A49" s="197">
        <v>43</v>
      </c>
      <c r="B49" s="198" t="s">
        <v>522</v>
      </c>
      <c r="C49" s="200" t="s">
        <v>326</v>
      </c>
      <c r="D49" s="200" t="s">
        <v>327</v>
      </c>
      <c r="E49" s="152" t="s">
        <v>529</v>
      </c>
      <c r="F49" s="179" t="s">
        <v>116</v>
      </c>
      <c r="G49" s="197" t="s">
        <v>67</v>
      </c>
      <c r="H49" s="201"/>
      <c r="I49" s="202"/>
      <c r="J49" s="212" t="s">
        <v>490</v>
      </c>
      <c r="K49" s="212" t="s">
        <v>462</v>
      </c>
      <c r="L49" s="197"/>
      <c r="M49" s="175">
        <f>'Sri Wulandara'!C21</f>
        <v>5000000</v>
      </c>
      <c r="N49" s="175">
        <f>'Sri Wulandara'!C36</f>
        <v>15000</v>
      </c>
      <c r="O49" s="175">
        <f>'Sri Wulandara'!D21</f>
        <v>5000000</v>
      </c>
      <c r="P49" s="175">
        <f>'Sri Wulandara'!D36</f>
        <v>15000</v>
      </c>
      <c r="Q49" s="175">
        <f>'Sri Wulandara'!E21</f>
        <v>5000000</v>
      </c>
      <c r="R49" s="175">
        <f>'Sri Wulandara'!E36</f>
        <v>15000</v>
      </c>
      <c r="S49" s="175">
        <f>'Sri Wulandara'!F21</f>
        <v>5000000</v>
      </c>
      <c r="T49" s="176">
        <f>'Sri Wulandara'!F36</f>
        <v>15000</v>
      </c>
      <c r="U49" s="176">
        <f>'Sri Wulandara'!P20</f>
        <v>3000000</v>
      </c>
      <c r="V49" s="176">
        <f>'Sri Wulandara'!P37</f>
        <v>171000</v>
      </c>
      <c r="W49" s="176">
        <f>'Sri Wulandara'!G21</f>
        <v>5000000</v>
      </c>
      <c r="X49" s="176">
        <f>'Sri Wulandara'!G36</f>
        <v>15000</v>
      </c>
      <c r="Y49" s="176">
        <f>'Sri Wulandara'!H21</f>
        <v>5000000</v>
      </c>
      <c r="Z49" s="176">
        <f>'Sri Wulandara'!H36</f>
        <v>15000</v>
      </c>
      <c r="AA49" s="176">
        <f>'Sri Wulandara'!I21</f>
        <v>5000000</v>
      </c>
      <c r="AB49" s="176">
        <f>'Sri Wulandara'!I36</f>
        <v>15000</v>
      </c>
      <c r="AC49" s="176">
        <f>'Sri Wulandara'!J21</f>
        <v>5000000</v>
      </c>
      <c r="AD49" s="176">
        <f>'Sri Wulandara'!J36</f>
        <v>15000</v>
      </c>
      <c r="AE49" s="176">
        <f>'Sri Wulandara'!K21</f>
        <v>5000000</v>
      </c>
      <c r="AF49" s="176">
        <f>'Sri Wulandara'!K36</f>
        <v>15000</v>
      </c>
      <c r="AG49" s="176">
        <f>'Sri Wulandara'!L21</f>
        <v>5000000</v>
      </c>
      <c r="AH49" s="176">
        <f>'Sri Wulandara'!L36</f>
        <v>15000</v>
      </c>
      <c r="AI49" s="176">
        <f>'Sri Wulandara'!M21</f>
        <v>5000000</v>
      </c>
      <c r="AJ49" s="176">
        <f>'Sri Wulandara'!M36</f>
        <v>15000</v>
      </c>
      <c r="AK49" s="176">
        <f>'Sri Wulandara'!N21</f>
        <v>5000000</v>
      </c>
      <c r="AL49" s="176">
        <f>'Sri Wulandara'!N36</f>
        <v>15000</v>
      </c>
      <c r="AM49" s="187"/>
    </row>
    <row r="50" spans="1:39" x14ac:dyDescent="0.2">
      <c r="A50" s="197">
        <v>44</v>
      </c>
      <c r="B50" s="198" t="s">
        <v>522</v>
      </c>
      <c r="C50" s="198" t="s">
        <v>570</v>
      </c>
      <c r="D50" s="200" t="s">
        <v>335</v>
      </c>
      <c r="E50" s="152" t="s">
        <v>529</v>
      </c>
      <c r="F50" s="197" t="s">
        <v>148</v>
      </c>
      <c r="G50" s="197" t="s">
        <v>64</v>
      </c>
      <c r="H50" s="201"/>
      <c r="I50" s="202"/>
      <c r="J50" s="212" t="s">
        <v>491</v>
      </c>
      <c r="K50" s="212" t="s">
        <v>464</v>
      </c>
      <c r="L50" s="197"/>
      <c r="M50" s="175">
        <f>Suharto!C21</f>
        <v>3500000</v>
      </c>
      <c r="N50" s="175">
        <f>Suharto!C36</f>
        <v>0</v>
      </c>
      <c r="O50" s="175">
        <f>Suharto!D21</f>
        <v>3500000</v>
      </c>
      <c r="P50" s="175">
        <f>Suharto!D36</f>
        <v>0</v>
      </c>
      <c r="Q50" s="175">
        <f>Suharto!E21</f>
        <v>3500000</v>
      </c>
      <c r="R50" s="175">
        <f>Suharto!E36</f>
        <v>0</v>
      </c>
      <c r="S50" s="175">
        <f>Suharto!F21</f>
        <v>3500000</v>
      </c>
      <c r="T50" s="176">
        <f>Suharto!F36</f>
        <v>0</v>
      </c>
      <c r="U50" s="176">
        <f>Suharto!P20</f>
        <v>3500000</v>
      </c>
      <c r="V50" s="176">
        <f>Suharto!P37</f>
        <v>0</v>
      </c>
      <c r="W50" s="176">
        <f>Suharto!G21</f>
        <v>3500000</v>
      </c>
      <c r="X50" s="176">
        <f>Suharto!G36</f>
        <v>0</v>
      </c>
      <c r="Y50" s="176">
        <f>Suharto!H21</f>
        <v>3650000</v>
      </c>
      <c r="Z50" s="176">
        <f>Suharto!H36</f>
        <v>0</v>
      </c>
      <c r="AA50" s="176">
        <f>Suharto!I21</f>
        <v>3700000</v>
      </c>
      <c r="AB50" s="176">
        <f>Suharto!I36</f>
        <v>0</v>
      </c>
      <c r="AC50" s="176">
        <f>Suharto!J21</f>
        <v>3650000</v>
      </c>
      <c r="AD50" s="176">
        <f>Suharto!J36</f>
        <v>0</v>
      </c>
      <c r="AE50" s="176">
        <f>Suharto!K21</f>
        <v>3600000</v>
      </c>
      <c r="AF50" s="176">
        <f>Suharto!K36</f>
        <v>0</v>
      </c>
      <c r="AG50" s="176">
        <f>Suharto!L21</f>
        <v>3600000</v>
      </c>
      <c r="AH50" s="176">
        <f>Suharto!L36</f>
        <v>0</v>
      </c>
      <c r="AI50" s="176">
        <f>Suharto!M21</f>
        <v>3600000</v>
      </c>
      <c r="AJ50" s="176">
        <f>Suharto!M36</f>
        <v>0</v>
      </c>
      <c r="AK50" s="176">
        <f>Suharto!N21</f>
        <v>3550000</v>
      </c>
      <c r="AL50" s="176">
        <f>Suharto!N36</f>
        <v>0</v>
      </c>
      <c r="AM50" s="187"/>
    </row>
    <row r="51" spans="1:39" x14ac:dyDescent="0.2">
      <c r="A51" s="197">
        <v>45</v>
      </c>
      <c r="B51" s="198" t="s">
        <v>522</v>
      </c>
      <c r="C51" s="200" t="s">
        <v>343</v>
      </c>
      <c r="D51" s="200" t="s">
        <v>344</v>
      </c>
      <c r="E51" s="153" t="s">
        <v>529</v>
      </c>
      <c r="F51" s="179" t="s">
        <v>116</v>
      </c>
      <c r="G51" s="197" t="s">
        <v>67</v>
      </c>
      <c r="H51" s="202">
        <v>43850</v>
      </c>
      <c r="I51" s="202"/>
      <c r="J51" s="212" t="s">
        <v>504</v>
      </c>
      <c r="K51" s="212" t="s">
        <v>476</v>
      </c>
      <c r="L51" s="197"/>
      <c r="M51" s="175">
        <f>Susilawati!C21</f>
        <v>4500000</v>
      </c>
      <c r="N51" s="175">
        <f>Susilawati!C36</f>
        <v>0</v>
      </c>
      <c r="O51" s="175">
        <f>Susilawati!D21</f>
        <v>4500000</v>
      </c>
      <c r="P51" s="175">
        <f>Susilawati!D36</f>
        <v>0</v>
      </c>
      <c r="Q51" s="175">
        <f>Susilawati!E21</f>
        <v>4500000</v>
      </c>
      <c r="R51" s="175">
        <f>Susilawati!E36</f>
        <v>0</v>
      </c>
      <c r="S51" s="175">
        <f>Susilawati!F21</f>
        <v>4500000</v>
      </c>
      <c r="T51" s="175">
        <f>Susilawati!F36</f>
        <v>0</v>
      </c>
      <c r="U51" s="175">
        <f>Susilawati!P20</f>
        <v>4150000</v>
      </c>
      <c r="V51" s="175">
        <f>Susilawati!P37</f>
        <v>74520</v>
      </c>
      <c r="W51" s="175">
        <f>Susilawati!G21</f>
        <v>4500000</v>
      </c>
      <c r="X51" s="175">
        <f>Susilawati!G36</f>
        <v>0</v>
      </c>
      <c r="Y51" s="175">
        <f>Susilawati!H21</f>
        <v>4500000</v>
      </c>
      <c r="Z51" s="175">
        <f>Susilawati!H36</f>
        <v>0</v>
      </c>
      <c r="AA51" s="175">
        <f>Susilawati!I21</f>
        <v>4500000</v>
      </c>
      <c r="AB51" s="175">
        <f>Susilawati!I36</f>
        <v>0</v>
      </c>
      <c r="AC51" s="175">
        <f>Susilawati!J21</f>
        <v>4500000</v>
      </c>
      <c r="AD51" s="175">
        <f>Susilawati!J36</f>
        <v>0</v>
      </c>
      <c r="AE51" s="175">
        <f>Susilawati!K21</f>
        <v>4500000</v>
      </c>
      <c r="AF51" s="175">
        <f>Susilawati!K36</f>
        <v>0</v>
      </c>
      <c r="AG51" s="175">
        <f>Susilawati!L21</f>
        <v>4500000</v>
      </c>
      <c r="AH51" s="175">
        <f>Susilawati!L36</f>
        <v>0</v>
      </c>
      <c r="AI51" s="175">
        <f>Susilawati!M21</f>
        <v>4500000</v>
      </c>
      <c r="AJ51" s="175">
        <f>Susilawati!M36</f>
        <v>0</v>
      </c>
      <c r="AK51" s="175">
        <f>Susilawati!N21</f>
        <v>4500000</v>
      </c>
      <c r="AL51" s="175">
        <f>Susilawati!N36</f>
        <v>0</v>
      </c>
      <c r="AM51" s="187"/>
    </row>
    <row r="52" spans="1:39" x14ac:dyDescent="0.2">
      <c r="A52" s="197">
        <v>46</v>
      </c>
      <c r="B52" s="198" t="s">
        <v>522</v>
      </c>
      <c r="C52" s="198" t="s">
        <v>571</v>
      </c>
      <c r="D52" s="178" t="s">
        <v>353</v>
      </c>
      <c r="E52" s="152" t="s">
        <v>529</v>
      </c>
      <c r="F52" s="211" t="s">
        <v>148</v>
      </c>
      <c r="G52" s="197" t="s">
        <v>64</v>
      </c>
      <c r="H52" s="214">
        <v>44228</v>
      </c>
      <c r="I52" s="197"/>
      <c r="J52" s="212" t="s">
        <v>520</v>
      </c>
      <c r="K52" s="212"/>
      <c r="L52" s="197"/>
      <c r="M52" s="175">
        <f>'Suyogi Imam Fauzi'!C17</f>
        <v>0</v>
      </c>
      <c r="N52" s="175">
        <f>'Suyogi Imam Fauzi'!C32</f>
        <v>0</v>
      </c>
      <c r="O52" s="175">
        <f>'Suyogi Imam Fauzi'!D17</f>
        <v>0</v>
      </c>
      <c r="P52" s="175">
        <f>'Suyogi Imam Fauzi'!D32</f>
        <v>0</v>
      </c>
      <c r="Q52" s="175">
        <f>'Suyogi Imam Fauzi'!E17</f>
        <v>0</v>
      </c>
      <c r="R52" s="175">
        <f>'Suyogi Imam Fauzi'!E32</f>
        <v>0</v>
      </c>
      <c r="S52" s="175">
        <f>'Suyogi Imam Fauzi'!F17</f>
        <v>0</v>
      </c>
      <c r="T52" s="175">
        <f>'Suyogi Imam Fauzi'!F32</f>
        <v>0</v>
      </c>
      <c r="U52" s="175">
        <f>'Suyogi Imam Fauzi'!P16</f>
        <v>0</v>
      </c>
      <c r="V52" s="175">
        <f>'Suyogi Imam Fauzi'!P33</f>
        <v>0</v>
      </c>
      <c r="W52" s="175">
        <f>'Suyogi Imam Fauzi'!G17</f>
        <v>0</v>
      </c>
      <c r="X52" s="175">
        <f>'Suyogi Imam Fauzi'!G32</f>
        <v>0</v>
      </c>
      <c r="Y52" s="175">
        <f>'Suyogi Imam Fauzi'!H17</f>
        <v>0</v>
      </c>
      <c r="Z52" s="175">
        <f>'Suyogi Imam Fauzi'!H32</f>
        <v>0</v>
      </c>
      <c r="AA52" s="175">
        <f>'Suyogi Imam Fauzi'!I17</f>
        <v>0</v>
      </c>
      <c r="AB52" s="175">
        <f>'Suyogi Imam Fauzi'!I32</f>
        <v>0</v>
      </c>
      <c r="AC52" s="175">
        <f>'Suyogi Imam Fauzi'!J17</f>
        <v>0</v>
      </c>
      <c r="AD52" s="175">
        <f>'Suyogi Imam Fauzi'!J32</f>
        <v>0</v>
      </c>
      <c r="AE52" s="175">
        <f>'Suyogi Imam Fauzi'!K17</f>
        <v>0</v>
      </c>
      <c r="AF52" s="175">
        <f>'Suyogi Imam Fauzi'!K32</f>
        <v>0</v>
      </c>
      <c r="AG52" s="175">
        <f>'Suyogi Imam Fauzi'!L17</f>
        <v>0</v>
      </c>
      <c r="AH52" s="175">
        <f>'Suyogi Imam Fauzi'!L32</f>
        <v>0</v>
      </c>
      <c r="AI52" s="175">
        <f>'Suyogi Imam Fauzi'!M17</f>
        <v>0</v>
      </c>
      <c r="AJ52" s="175">
        <f>'Suyogi Imam Fauzi'!M32</f>
        <v>0</v>
      </c>
      <c r="AK52" s="175">
        <f>'Suyogi Imam Fauzi'!N17</f>
        <v>0</v>
      </c>
      <c r="AL52" s="175">
        <f>'Suyogi Imam Fauzi'!N32</f>
        <v>0</v>
      </c>
      <c r="AM52" s="187"/>
    </row>
    <row r="53" spans="1:39" x14ac:dyDescent="0.2">
      <c r="A53" s="197">
        <v>47</v>
      </c>
      <c r="B53" s="198" t="s">
        <v>522</v>
      </c>
      <c r="C53" s="198"/>
      <c r="D53" s="178" t="s">
        <v>545</v>
      </c>
      <c r="E53" s="152" t="s">
        <v>529</v>
      </c>
      <c r="F53" s="211" t="s">
        <v>148</v>
      </c>
      <c r="G53" s="197" t="s">
        <v>64</v>
      </c>
      <c r="H53" s="214"/>
      <c r="I53" s="197"/>
      <c r="J53" s="203"/>
      <c r="K53" s="212" t="s">
        <v>547</v>
      </c>
      <c r="L53" s="197"/>
      <c r="M53" s="175">
        <f>'Taufan Teguh Akbari'!C21</f>
        <v>5000000</v>
      </c>
      <c r="N53" s="175">
        <f>'Taufan Teguh Akbari'!C36</f>
        <v>0</v>
      </c>
      <c r="O53" s="175">
        <f>'Taufan Teguh Akbari'!D21</f>
        <v>0</v>
      </c>
      <c r="P53" s="175">
        <f>'Taufan Teguh Akbari'!D36</f>
        <v>0</v>
      </c>
      <c r="Q53" s="175">
        <f>'Taufan Teguh Akbari'!E21</f>
        <v>0</v>
      </c>
      <c r="R53" s="175">
        <f>'Taufan Teguh Akbari'!E36</f>
        <v>0</v>
      </c>
      <c r="S53" s="175">
        <f>'Taufan Teguh Akbari'!F21</f>
        <v>0</v>
      </c>
      <c r="T53" s="175">
        <f>'Taufan Teguh Akbari'!F36</f>
        <v>0</v>
      </c>
      <c r="U53" s="175">
        <f>'Taufan Teguh Akbari'!P20</f>
        <v>0</v>
      </c>
      <c r="V53" s="175">
        <f>'Taufan Teguh Akbari'!P37</f>
        <v>0</v>
      </c>
      <c r="W53" s="175">
        <f>'Taufan Teguh Akbari'!G21</f>
        <v>0</v>
      </c>
      <c r="X53" s="175">
        <f>'Taufan Teguh Akbari'!G36</f>
        <v>0</v>
      </c>
      <c r="Y53" s="175">
        <f>'Taufan Teguh Akbari'!H21</f>
        <v>0</v>
      </c>
      <c r="Z53" s="175">
        <f>'Taufan Teguh Akbari'!H36</f>
        <v>0</v>
      </c>
      <c r="AA53" s="175">
        <f>'Taufan Teguh Akbari'!I21</f>
        <v>0</v>
      </c>
      <c r="AB53" s="175">
        <f>'Taufan Teguh Akbari'!I36</f>
        <v>0</v>
      </c>
      <c r="AC53" s="175">
        <f>'Taufan Teguh Akbari'!J21</f>
        <v>0</v>
      </c>
      <c r="AD53" s="175">
        <f>'Taufan Teguh Akbari'!J36</f>
        <v>0</v>
      </c>
      <c r="AE53" s="175">
        <f>'Taufan Teguh Akbari'!K21</f>
        <v>0</v>
      </c>
      <c r="AF53" s="175">
        <f>'Taufan Teguh Akbari'!K36</f>
        <v>0</v>
      </c>
      <c r="AG53" s="175">
        <f>'Taufan Teguh Akbari'!L21</f>
        <v>0</v>
      </c>
      <c r="AH53" s="175">
        <f>'Taufan Teguh Akbari'!L36</f>
        <v>0</v>
      </c>
      <c r="AI53" s="175">
        <f>'Taufan Teguh Akbari'!M21</f>
        <v>0</v>
      </c>
      <c r="AJ53" s="175">
        <f>'Taufan Teguh Akbari'!M36</f>
        <v>0</v>
      </c>
      <c r="AK53" s="175">
        <f>'Taufan Teguh Akbari'!N21</f>
        <v>0</v>
      </c>
      <c r="AL53" s="175">
        <f>'Taufan Teguh Akbari'!N36</f>
        <v>0</v>
      </c>
      <c r="AM53" s="187"/>
    </row>
    <row r="54" spans="1:39" x14ac:dyDescent="0.2">
      <c r="A54" s="197">
        <v>48</v>
      </c>
      <c r="B54" s="198" t="s">
        <v>522</v>
      </c>
      <c r="C54" s="200" t="s">
        <v>360</v>
      </c>
      <c r="D54" s="200" t="s">
        <v>361</v>
      </c>
      <c r="E54" s="152" t="s">
        <v>529</v>
      </c>
      <c r="F54" s="197" t="s">
        <v>116</v>
      </c>
      <c r="G54" s="197" t="s">
        <v>67</v>
      </c>
      <c r="H54" s="201"/>
      <c r="I54" s="202"/>
      <c r="J54" s="212" t="s">
        <v>507</v>
      </c>
      <c r="K54" s="212" t="s">
        <v>477</v>
      </c>
      <c r="L54" s="197"/>
      <c r="M54" s="175">
        <f>'Tika Rahayu'!C21</f>
        <v>4000000</v>
      </c>
      <c r="N54" s="175">
        <f>'Tika Rahayu'!C36</f>
        <v>0</v>
      </c>
      <c r="O54" s="175">
        <f>'Tika Rahayu'!D21</f>
        <v>4000000</v>
      </c>
      <c r="P54" s="175">
        <f>'Tika Rahayu'!D36</f>
        <v>0</v>
      </c>
      <c r="Q54" s="175">
        <f>'Tika Rahayu'!E21</f>
        <v>4000000</v>
      </c>
      <c r="R54" s="175">
        <f>'Tika Rahayu'!E36</f>
        <v>0</v>
      </c>
      <c r="S54" s="175">
        <f>'Tika Rahayu'!F21</f>
        <v>4000000</v>
      </c>
      <c r="T54" s="175">
        <f>'Tika Rahayu'!F36</f>
        <v>0</v>
      </c>
      <c r="U54" s="175">
        <f>'Tika Rahayu'!P20</f>
        <v>3000000</v>
      </c>
      <c r="V54" s="175">
        <f>'Tika Rahayu'!P37</f>
        <v>0</v>
      </c>
      <c r="W54" s="175">
        <f>'Tika Rahayu'!G21</f>
        <v>4000000</v>
      </c>
      <c r="X54" s="175">
        <f>'Tika Rahayu'!G36</f>
        <v>0</v>
      </c>
      <c r="Y54" s="175">
        <f>'Tika Rahayu'!H21</f>
        <v>4050000</v>
      </c>
      <c r="Z54" s="175">
        <f>'Tika Rahayu'!H36</f>
        <v>0</v>
      </c>
      <c r="AA54" s="175">
        <f>'Tika Rahayu'!I21</f>
        <v>4050000</v>
      </c>
      <c r="AB54" s="175">
        <f>'Tika Rahayu'!I36</f>
        <v>0</v>
      </c>
      <c r="AC54" s="175">
        <f>'Tika Rahayu'!J21</f>
        <v>4075000</v>
      </c>
      <c r="AD54" s="175">
        <f>'Tika Rahayu'!J36</f>
        <v>0</v>
      </c>
      <c r="AE54" s="175">
        <f>'Tika Rahayu'!K21</f>
        <v>4050000</v>
      </c>
      <c r="AF54" s="175">
        <f>'Tika Rahayu'!K36</f>
        <v>0</v>
      </c>
      <c r="AG54" s="175">
        <f>'Tika Rahayu'!L21</f>
        <v>4050000</v>
      </c>
      <c r="AH54" s="175">
        <f>'Tika Rahayu'!L36</f>
        <v>0</v>
      </c>
      <c r="AI54" s="175">
        <f>'Tika Rahayu'!M21</f>
        <v>4150000</v>
      </c>
      <c r="AJ54" s="175">
        <f>'Tika Rahayu'!M36</f>
        <v>0</v>
      </c>
      <c r="AK54" s="175">
        <f>'Tika Rahayu'!N21</f>
        <v>4050000</v>
      </c>
      <c r="AL54" s="175">
        <f>'Tika Rahayu'!N36</f>
        <v>0</v>
      </c>
      <c r="AM54" s="187"/>
    </row>
    <row r="55" spans="1:39" x14ac:dyDescent="0.2">
      <c r="A55" s="197">
        <v>49</v>
      </c>
      <c r="B55" s="198" t="s">
        <v>522</v>
      </c>
      <c r="C55" s="198" t="s">
        <v>572</v>
      </c>
      <c r="D55" s="200" t="s">
        <v>369</v>
      </c>
      <c r="E55" s="152" t="s">
        <v>529</v>
      </c>
      <c r="F55" s="197" t="s">
        <v>116</v>
      </c>
      <c r="G55" s="197" t="s">
        <v>67</v>
      </c>
      <c r="H55" s="201"/>
      <c r="I55" s="202"/>
      <c r="J55" s="212" t="s">
        <v>501</v>
      </c>
      <c r="K55" s="212" t="s">
        <v>473</v>
      </c>
      <c r="L55" s="197"/>
      <c r="M55" s="175">
        <f>'Uzlifatul Jannah'!C21</f>
        <v>4000000</v>
      </c>
      <c r="N55" s="175">
        <f>'Uzlifatul Jannah'!C36</f>
        <v>0</v>
      </c>
      <c r="O55" s="175">
        <f>'Uzlifatul Jannah'!D21</f>
        <v>4000000</v>
      </c>
      <c r="P55" s="175">
        <f>'Uzlifatul Jannah'!D36</f>
        <v>0</v>
      </c>
      <c r="Q55" s="175">
        <f>'Uzlifatul Jannah'!E21</f>
        <v>4000000</v>
      </c>
      <c r="R55" s="175">
        <f>'Uzlifatul Jannah'!E36</f>
        <v>0</v>
      </c>
      <c r="S55" s="175">
        <f>'Uzlifatul Jannah'!F21</f>
        <v>4000000</v>
      </c>
      <c r="T55" s="175">
        <f>'Uzlifatul Jannah'!F36</f>
        <v>0</v>
      </c>
      <c r="U55" s="175">
        <f>'Uzlifatul Jannah'!P20</f>
        <v>3000000</v>
      </c>
      <c r="V55" s="175">
        <f>'Uzlifatul Jannah'!P37</f>
        <v>0</v>
      </c>
      <c r="W55" s="175">
        <f>'Uzlifatul Jannah'!G21</f>
        <v>4000000</v>
      </c>
      <c r="X55" s="175">
        <f>'Uzlifatul Jannah'!G36</f>
        <v>0</v>
      </c>
      <c r="Y55" s="175">
        <f>'Uzlifatul Jannah'!H21</f>
        <v>4050000</v>
      </c>
      <c r="Z55" s="175">
        <f>'Uzlifatul Jannah'!H36</f>
        <v>0</v>
      </c>
      <c r="AA55" s="175">
        <f>'Uzlifatul Jannah'!I21</f>
        <v>4100000</v>
      </c>
      <c r="AB55" s="175">
        <f>'Uzlifatul Jannah'!I36</f>
        <v>0</v>
      </c>
      <c r="AC55" s="175">
        <f>'Uzlifatul Jannah'!J21</f>
        <v>4200000</v>
      </c>
      <c r="AD55" s="175">
        <f>'Uzlifatul Jannah'!J36</f>
        <v>0</v>
      </c>
      <c r="AE55" s="175">
        <f>'Uzlifatul Jannah'!K21</f>
        <v>4150000</v>
      </c>
      <c r="AF55" s="175">
        <f>'Uzlifatul Jannah'!K36</f>
        <v>0</v>
      </c>
      <c r="AG55" s="175">
        <f>'Uzlifatul Jannah'!L21</f>
        <v>4150000</v>
      </c>
      <c r="AH55" s="175">
        <f>'Uzlifatul Jannah'!L36</f>
        <v>0</v>
      </c>
      <c r="AI55" s="175">
        <f>'Uzlifatul Jannah'!M21</f>
        <v>4200000</v>
      </c>
      <c r="AJ55" s="175">
        <f>'Uzlifatul Jannah'!M36</f>
        <v>0</v>
      </c>
      <c r="AK55" s="175">
        <f>'Uzlifatul Jannah'!N21</f>
        <v>4100000</v>
      </c>
      <c r="AL55" s="175">
        <f>'Uzlifatul Jannah'!N36</f>
        <v>0</v>
      </c>
      <c r="AM55" s="187"/>
    </row>
    <row r="56" spans="1:39" x14ac:dyDescent="0.2">
      <c r="A56" s="197">
        <v>50</v>
      </c>
      <c r="B56" s="198" t="s">
        <v>522</v>
      </c>
      <c r="C56" s="200"/>
      <c r="D56" s="178" t="s">
        <v>524</v>
      </c>
      <c r="E56" s="152" t="s">
        <v>529</v>
      </c>
      <c r="F56" s="211" t="s">
        <v>148</v>
      </c>
      <c r="G56" s="197" t="s">
        <v>64</v>
      </c>
      <c r="H56" s="214"/>
      <c r="I56" s="197"/>
      <c r="J56" s="212"/>
      <c r="K56" s="212"/>
      <c r="L56" s="197"/>
      <c r="M56" s="175">
        <f>'Wahyu Mustajab'!C21</f>
        <v>2500000</v>
      </c>
      <c r="N56" s="175">
        <f>'Wahyu Mustajab'!C36</f>
        <v>0</v>
      </c>
      <c r="O56" s="175">
        <f>'Wahyu Mustajab'!D21</f>
        <v>2500000</v>
      </c>
      <c r="P56" s="175">
        <f>'Wahyu Mustajab'!D36</f>
        <v>0</v>
      </c>
      <c r="Q56" s="175">
        <f>'Wahyu Mustajab'!E21</f>
        <v>2500000</v>
      </c>
      <c r="R56" s="175">
        <f>'Wahyu Mustajab'!E36</f>
        <v>0</v>
      </c>
      <c r="S56" s="175">
        <f>'Wahyu Mustajab'!F21</f>
        <v>2500000</v>
      </c>
      <c r="T56" s="175">
        <f>'Wahyu Mustajab'!F36</f>
        <v>0</v>
      </c>
      <c r="U56" s="175">
        <f>'Wahyu Mustajab'!P20</f>
        <v>2000000</v>
      </c>
      <c r="V56" s="175">
        <f>'Wahyu Mustajab'!P37</f>
        <v>0</v>
      </c>
      <c r="W56" s="175">
        <f>'Wahyu Mustajab'!G21</f>
        <v>5350000</v>
      </c>
      <c r="X56" s="175">
        <f>'Wahyu Mustajab'!G36</f>
        <v>0</v>
      </c>
      <c r="Y56" s="175">
        <f>'Wahyu Mustajab'!H21</f>
        <v>2500000</v>
      </c>
      <c r="Z56" s="175">
        <f>'Wahyu Mustajab'!H36</f>
        <v>0</v>
      </c>
      <c r="AA56" s="175">
        <f>'Wahyu Mustajab'!I21</f>
        <v>2500000</v>
      </c>
      <c r="AB56" s="175">
        <f>'Wahyu Mustajab'!I36</f>
        <v>0</v>
      </c>
      <c r="AC56" s="175">
        <f>'Wahyu Mustajab'!J21</f>
        <v>4150000</v>
      </c>
      <c r="AD56" s="175">
        <f>'Wahyu Mustajab'!J36</f>
        <v>0</v>
      </c>
      <c r="AE56" s="175">
        <f>'Wahyu Mustajab'!K21</f>
        <v>8060000</v>
      </c>
      <c r="AF56" s="175">
        <f>'Wahyu Mustajab'!K36</f>
        <v>0</v>
      </c>
      <c r="AG56" s="175">
        <f>'Wahyu Mustajab'!L21</f>
        <v>4221000</v>
      </c>
      <c r="AH56" s="175">
        <f>'Wahyu Mustajab'!L36</f>
        <v>0</v>
      </c>
      <c r="AI56" s="175">
        <f>'Wahyu Mustajab'!M21</f>
        <v>2500000</v>
      </c>
      <c r="AJ56" s="175">
        <f>'Wahyu Mustajab'!M36</f>
        <v>0</v>
      </c>
      <c r="AK56" s="175">
        <f>'Wahyu Mustajab'!N21</f>
        <v>2500000</v>
      </c>
      <c r="AL56" s="175">
        <f>'Wahyu Mustajab'!N36</f>
        <v>0</v>
      </c>
      <c r="AM56" s="187"/>
    </row>
    <row r="57" spans="1:39" x14ac:dyDescent="0.2">
      <c r="A57" s="197">
        <v>51</v>
      </c>
      <c r="B57" s="198" t="s">
        <v>522</v>
      </c>
      <c r="C57" s="198" t="s">
        <v>573</v>
      </c>
      <c r="D57" s="178" t="s">
        <v>377</v>
      </c>
      <c r="E57" s="152" t="s">
        <v>529</v>
      </c>
      <c r="F57" s="211" t="s">
        <v>148</v>
      </c>
      <c r="G57" s="197" t="s">
        <v>64</v>
      </c>
      <c r="H57" s="202">
        <v>44238</v>
      </c>
      <c r="I57" s="197"/>
      <c r="J57" s="212" t="s">
        <v>518</v>
      </c>
      <c r="K57" s="212" t="s">
        <v>484</v>
      </c>
      <c r="L57" s="197"/>
      <c r="M57" s="175">
        <f>Wihendy!C21</f>
        <v>1500000</v>
      </c>
      <c r="N57" s="175">
        <f>Wihendy!C36</f>
        <v>0</v>
      </c>
      <c r="O57" s="175">
        <f>Wihendy!D21</f>
        <v>0</v>
      </c>
      <c r="P57" s="175">
        <f>Wihendy!D36</f>
        <v>0</v>
      </c>
      <c r="Q57" s="175">
        <f>Wihendy!E21</f>
        <v>0</v>
      </c>
      <c r="R57" s="175">
        <f>Wihendy!E36</f>
        <v>0</v>
      </c>
      <c r="S57" s="175">
        <f>Wihendy!F21</f>
        <v>0</v>
      </c>
      <c r="T57" s="175">
        <f>Wihendy!F36</f>
        <v>0</v>
      </c>
      <c r="U57" s="175">
        <f>Wihendy!P20</f>
        <v>0</v>
      </c>
      <c r="V57" s="175">
        <f>Wihendy!P37</f>
        <v>0</v>
      </c>
      <c r="W57" s="175">
        <f>Wihendy!G21</f>
        <v>0</v>
      </c>
      <c r="X57" s="175">
        <f>Wihendy!G36</f>
        <v>0</v>
      </c>
      <c r="Y57" s="175">
        <f>Wihendy!H21</f>
        <v>0</v>
      </c>
      <c r="Z57" s="175">
        <f>Wihendy!H36</f>
        <v>0</v>
      </c>
      <c r="AA57" s="175">
        <f>Wihendy!I21</f>
        <v>0</v>
      </c>
      <c r="AB57" s="175">
        <f>Wihendy!I36</f>
        <v>0</v>
      </c>
      <c r="AC57" s="175">
        <f>Wihendy!J21</f>
        <v>0</v>
      </c>
      <c r="AD57" s="175">
        <f>Wihendy!J36</f>
        <v>0</v>
      </c>
      <c r="AE57" s="175">
        <f>Wihendy!K21</f>
        <v>0</v>
      </c>
      <c r="AF57" s="175">
        <f>Wihendy!K36</f>
        <v>0</v>
      </c>
      <c r="AG57" s="175">
        <f>Wihendy!L21</f>
        <v>0</v>
      </c>
      <c r="AH57" s="175">
        <f>Wihendy!L36</f>
        <v>0</v>
      </c>
      <c r="AI57" s="175">
        <f>Wihendy!M21</f>
        <v>0</v>
      </c>
      <c r="AJ57" s="175">
        <f>Wihendy!M36</f>
        <v>0</v>
      </c>
      <c r="AK57" s="175">
        <f>Wihendy!N21</f>
        <v>0</v>
      </c>
      <c r="AL57" s="175">
        <f>Wihendy!N36</f>
        <v>0</v>
      </c>
      <c r="AM57" s="187"/>
    </row>
    <row r="58" spans="1:39" x14ac:dyDescent="0.2">
      <c r="A58" s="197">
        <v>52</v>
      </c>
      <c r="B58" s="198" t="s">
        <v>522</v>
      </c>
      <c r="C58" s="200" t="s">
        <v>385</v>
      </c>
      <c r="D58" s="178" t="s">
        <v>696</v>
      </c>
      <c r="E58" s="152" t="s">
        <v>529</v>
      </c>
      <c r="F58" s="211" t="s">
        <v>148</v>
      </c>
      <c r="G58" s="197" t="s">
        <v>64</v>
      </c>
      <c r="H58" s="197"/>
      <c r="I58" s="197"/>
      <c r="J58" s="212" t="s">
        <v>519</v>
      </c>
      <c r="K58" s="212"/>
      <c r="L58" s="197"/>
      <c r="M58" s="175">
        <f>'Fauji Ashari'!C21</f>
        <v>0</v>
      </c>
      <c r="N58" s="175">
        <f>'Fauji Ashari'!C36</f>
        <v>0</v>
      </c>
      <c r="O58" s="175">
        <f>'Fauji Ashari'!D21</f>
        <v>0</v>
      </c>
      <c r="P58" s="175">
        <f>'Fauji Ashari'!D36</f>
        <v>0</v>
      </c>
      <c r="Q58" s="175">
        <f>'Fauji Ashari'!E21</f>
        <v>0</v>
      </c>
      <c r="R58" s="175">
        <f>'Fauji Ashari'!E36</f>
        <v>0</v>
      </c>
      <c r="S58" s="175">
        <f>'Fauji Ashari'!F21</f>
        <v>0</v>
      </c>
      <c r="T58" s="175">
        <f>'Fauji Ashari'!F36</f>
        <v>0</v>
      </c>
      <c r="U58" s="175">
        <f>'Fauji Ashari'!P20</f>
        <v>0</v>
      </c>
      <c r="V58" s="175">
        <f>'Fauji Ashari'!P37</f>
        <v>0</v>
      </c>
      <c r="W58" s="175">
        <f>'Fauji Ashari'!G21</f>
        <v>0</v>
      </c>
      <c r="X58" s="175">
        <f>'Fauji Ashari'!G36</f>
        <v>0</v>
      </c>
      <c r="Y58" s="175">
        <f>'Fauji Ashari'!H21</f>
        <v>0</v>
      </c>
      <c r="Z58" s="175">
        <f>'Fauji Ashari'!H36</f>
        <v>0</v>
      </c>
      <c r="AA58" s="175">
        <f>'Fauji Ashari'!I21</f>
        <v>0</v>
      </c>
      <c r="AB58" s="175">
        <f>'Fauji Ashari'!I36</f>
        <v>0</v>
      </c>
      <c r="AC58" s="175">
        <f>'Fauji Ashari'!J21</f>
        <v>0</v>
      </c>
      <c r="AD58" s="175">
        <f>'Fauji Ashari'!J36</f>
        <v>0</v>
      </c>
      <c r="AE58" s="175">
        <f>'Fauji Ashari'!K21</f>
        <v>0</v>
      </c>
      <c r="AF58" s="175">
        <f>'Fauji Ashari'!K36</f>
        <v>0</v>
      </c>
      <c r="AG58" s="175">
        <f>'Fauji Ashari'!L21</f>
        <v>0</v>
      </c>
      <c r="AH58" s="175">
        <f>'Fauji Ashari'!L36</f>
        <v>0</v>
      </c>
      <c r="AI58" s="175">
        <f>'Fauji Ashari'!M21</f>
        <v>0</v>
      </c>
      <c r="AJ58" s="175">
        <f>'Fauji Ashari'!M36</f>
        <v>0</v>
      </c>
      <c r="AK58" s="175">
        <f>'Fauji Ashari'!N21</f>
        <v>454545</v>
      </c>
      <c r="AL58" s="175">
        <f>'Fauji Ashari'!N36</f>
        <v>0</v>
      </c>
      <c r="AM58" s="187"/>
    </row>
    <row r="59" spans="1:39" x14ac:dyDescent="0.2">
      <c r="A59" s="197">
        <v>53</v>
      </c>
      <c r="B59" s="198" t="s">
        <v>522</v>
      </c>
      <c r="C59" s="200" t="s">
        <v>390</v>
      </c>
      <c r="D59" s="178" t="s">
        <v>391</v>
      </c>
      <c r="E59" s="153" t="s">
        <v>529</v>
      </c>
      <c r="F59" s="211" t="s">
        <v>116</v>
      </c>
      <c r="G59" s="197" t="s">
        <v>67</v>
      </c>
      <c r="H59" s="197"/>
      <c r="I59" s="220"/>
      <c r="J59" s="221" t="s">
        <v>514</v>
      </c>
      <c r="K59" s="221" t="s">
        <v>175</v>
      </c>
      <c r="L59" s="220"/>
      <c r="M59" s="175">
        <f>'Wita Maulida'!C21</f>
        <v>3000000</v>
      </c>
      <c r="N59" s="175">
        <f>'Wita Maulida'!C36</f>
        <v>0</v>
      </c>
      <c r="O59" s="175">
        <f>'Wita Maulida'!D21</f>
        <v>3000000</v>
      </c>
      <c r="P59" s="175">
        <f>'Wita Maulida'!D36</f>
        <v>0</v>
      </c>
      <c r="Q59" s="175">
        <f>'Wita Maulida'!E21</f>
        <v>3000000</v>
      </c>
      <c r="R59" s="175">
        <f>'Wita Maulida'!E36</f>
        <v>0</v>
      </c>
      <c r="S59" s="175">
        <f>'Wita Maulida'!F21</f>
        <v>3000000</v>
      </c>
      <c r="T59" s="175">
        <f>'Wita Maulida'!F36</f>
        <v>0</v>
      </c>
      <c r="U59" s="175">
        <f>'Wita Maulida'!P20</f>
        <v>2000000</v>
      </c>
      <c r="V59" s="175">
        <f>'Wita Maulida'!P37</f>
        <v>0</v>
      </c>
      <c r="W59" s="175">
        <f>'Wita Maulida'!G21</f>
        <v>3000000</v>
      </c>
      <c r="X59" s="175">
        <f>'Wita Maulida'!G36</f>
        <v>0</v>
      </c>
      <c r="Y59" s="175">
        <f>'Wita Maulida'!H21</f>
        <v>3050000</v>
      </c>
      <c r="Z59" s="175">
        <f>'Wita Maulida'!H36</f>
        <v>0</v>
      </c>
      <c r="AA59" s="175">
        <f>'Wita Maulida'!I21</f>
        <v>3050000</v>
      </c>
      <c r="AB59" s="175">
        <f>'Wita Maulida'!I36</f>
        <v>0</v>
      </c>
      <c r="AC59" s="175">
        <f>'Wita Maulida'!J21</f>
        <v>3100000</v>
      </c>
      <c r="AD59" s="175">
        <f>'Wita Maulida'!J36</f>
        <v>0</v>
      </c>
      <c r="AE59" s="175">
        <f>'Wita Maulida'!K21</f>
        <v>3100000</v>
      </c>
      <c r="AF59" s="175">
        <f>'Wita Maulida'!K36</f>
        <v>0</v>
      </c>
      <c r="AG59" s="175">
        <f>'Wita Maulida'!L21</f>
        <v>3100000</v>
      </c>
      <c r="AH59" s="175">
        <f>'Wita Maulida'!L36</f>
        <v>0</v>
      </c>
      <c r="AI59" s="175">
        <f>'Wita Maulida'!M21</f>
        <v>3150000</v>
      </c>
      <c r="AJ59" s="175">
        <f>'Wita Maulida'!M36</f>
        <v>0</v>
      </c>
      <c r="AK59" s="175">
        <f>'Wita Maulida'!N21</f>
        <v>3050000</v>
      </c>
      <c r="AL59" s="175">
        <f>'Wita Maulida'!N36</f>
        <v>0</v>
      </c>
      <c r="AM59" s="187"/>
    </row>
    <row r="60" spans="1:39" x14ac:dyDescent="0.2">
      <c r="A60" s="197">
        <v>54</v>
      </c>
      <c r="B60" s="198" t="s">
        <v>522</v>
      </c>
      <c r="C60" s="198" t="s">
        <v>574</v>
      </c>
      <c r="D60" s="178" t="s">
        <v>399</v>
      </c>
      <c r="E60" s="153" t="s">
        <v>529</v>
      </c>
      <c r="F60" s="211" t="s">
        <v>116</v>
      </c>
      <c r="G60" s="197" t="s">
        <v>67</v>
      </c>
      <c r="H60" s="197"/>
      <c r="I60" s="220"/>
      <c r="J60" s="221" t="s">
        <v>513</v>
      </c>
      <c r="K60" s="221" t="s">
        <v>479</v>
      </c>
      <c r="L60" s="220"/>
      <c r="M60" s="175">
        <f>'Yeni Karlina'!C17</f>
        <v>0</v>
      </c>
      <c r="N60" s="175">
        <f>'Yeni Karlina'!C32</f>
        <v>0</v>
      </c>
      <c r="O60" s="175">
        <f>'Yeni Karlina'!D17</f>
        <v>0</v>
      </c>
      <c r="P60" s="175">
        <f>'Yeni Karlina'!D32</f>
        <v>0</v>
      </c>
      <c r="Q60" s="175">
        <f>'Yeni Karlina'!E17</f>
        <v>0</v>
      </c>
      <c r="R60" s="175">
        <f>'Yeni Karlina'!E32</f>
        <v>0</v>
      </c>
      <c r="S60" s="175">
        <f>'Yeni Karlina'!F17</f>
        <v>0</v>
      </c>
      <c r="T60" s="175">
        <f>'Yeni Karlina'!F32</f>
        <v>0</v>
      </c>
      <c r="U60" s="175">
        <f>'Yeni Karlina'!P16</f>
        <v>0</v>
      </c>
      <c r="V60" s="175">
        <f>'Yeni Karlina'!P33</f>
        <v>0</v>
      </c>
      <c r="W60" s="175">
        <f>'Yeni Karlina'!G17</f>
        <v>0</v>
      </c>
      <c r="X60" s="175">
        <f>'Yeni Karlina'!G32</f>
        <v>0</v>
      </c>
      <c r="Y60" s="175">
        <f>'Yeni Karlina'!H17</f>
        <v>0</v>
      </c>
      <c r="Z60" s="175">
        <f>'Yeni Karlina'!H32</f>
        <v>0</v>
      </c>
      <c r="AA60" s="175">
        <f>'Yeni Karlina'!I17</f>
        <v>0</v>
      </c>
      <c r="AB60" s="175">
        <f>'Yeni Karlina'!I32</f>
        <v>0</v>
      </c>
      <c r="AC60" s="175">
        <f>'Yeni Karlina'!J17</f>
        <v>0</v>
      </c>
      <c r="AD60" s="175">
        <f>'Yeni Karlina'!J32</f>
        <v>0</v>
      </c>
      <c r="AE60" s="175">
        <f>'Yeni Karlina'!K17</f>
        <v>0</v>
      </c>
      <c r="AF60" s="175">
        <f>'Yeni Karlina'!K32</f>
        <v>0</v>
      </c>
      <c r="AG60" s="175">
        <f>'Yeni Karlina'!L17</f>
        <v>0</v>
      </c>
      <c r="AH60" s="175">
        <f>'Yeni Karlina'!L32</f>
        <v>0</v>
      </c>
      <c r="AI60" s="175">
        <f>'Yeni Karlina'!M17</f>
        <v>0</v>
      </c>
      <c r="AJ60" s="175">
        <f>'Yeni Karlina'!M32</f>
        <v>0</v>
      </c>
      <c r="AK60" s="175">
        <f>'Yeni Karlina'!N17</f>
        <v>0</v>
      </c>
      <c r="AL60" s="175">
        <f>'Yeni Karlina'!N32</f>
        <v>0</v>
      </c>
      <c r="AM60" s="187"/>
    </row>
    <row r="61" spans="1:39" x14ac:dyDescent="0.2">
      <c r="A61" s="197">
        <v>55</v>
      </c>
      <c r="B61" s="198" t="s">
        <v>522</v>
      </c>
      <c r="C61" s="198" t="s">
        <v>575</v>
      </c>
      <c r="D61" s="200" t="s">
        <v>433</v>
      </c>
      <c r="E61" s="153" t="s">
        <v>529</v>
      </c>
      <c r="F61" s="197" t="s">
        <v>116</v>
      </c>
      <c r="G61" s="197" t="s">
        <v>67</v>
      </c>
      <c r="H61" s="201"/>
      <c r="I61" s="202"/>
      <c r="J61" s="212" t="s">
        <v>508</v>
      </c>
      <c r="K61" s="212" t="s">
        <v>175</v>
      </c>
      <c r="L61" s="197"/>
      <c r="M61" s="175">
        <f>'Yolla Aprilianny'!C21</f>
        <v>4000000</v>
      </c>
      <c r="N61" s="175">
        <f>'Yolla Aprilianny'!C36</f>
        <v>0</v>
      </c>
      <c r="O61" s="175">
        <f>'Yolla Aprilianny'!D21</f>
        <v>4000000</v>
      </c>
      <c r="P61" s="175">
        <f>'Yolla Aprilianny'!D36</f>
        <v>0</v>
      </c>
      <c r="Q61" s="175">
        <f>'Yolla Aprilianny'!E21</f>
        <v>4000000</v>
      </c>
      <c r="R61" s="175">
        <f>'Yolla Aprilianny'!E36</f>
        <v>0</v>
      </c>
      <c r="S61" s="175">
        <f>'Yolla Aprilianny'!F21</f>
        <v>4000000</v>
      </c>
      <c r="T61" s="175">
        <f>'Yolla Aprilianny'!F36</f>
        <v>0</v>
      </c>
      <c r="U61" s="175">
        <f>'Yolla Aprilianny'!P20</f>
        <v>2000000</v>
      </c>
      <c r="V61" s="175">
        <f>'Yolla Aprilianny'!P37</f>
        <v>0</v>
      </c>
      <c r="W61" s="175">
        <f>'Yolla Aprilianny'!G21</f>
        <v>4000000</v>
      </c>
      <c r="X61" s="175">
        <f>'Yolla Aprilianny'!G36</f>
        <v>0</v>
      </c>
      <c r="Y61" s="175">
        <f>'Yolla Aprilianny'!H21</f>
        <v>4000000</v>
      </c>
      <c r="Z61" s="175">
        <f>'Yolla Aprilianny'!H36</f>
        <v>0</v>
      </c>
      <c r="AA61" s="175">
        <f>'Yolla Aprilianny'!I21</f>
        <v>4000000</v>
      </c>
      <c r="AB61" s="175">
        <f>'Yolla Aprilianny'!I36</f>
        <v>0</v>
      </c>
      <c r="AC61" s="175">
        <f>'Yolla Aprilianny'!J21</f>
        <v>5680000</v>
      </c>
      <c r="AD61" s="175">
        <f>'Yolla Aprilianny'!J36</f>
        <v>0</v>
      </c>
      <c r="AE61" s="175">
        <f>'Yolla Aprilianny'!K21</f>
        <v>4000000</v>
      </c>
      <c r="AF61" s="175">
        <f>'Yolla Aprilianny'!K36</f>
        <v>0</v>
      </c>
      <c r="AG61" s="175">
        <f>'Yolla Aprilianny'!L21</f>
        <v>4000000</v>
      </c>
      <c r="AH61" s="175">
        <f>'Yolla Aprilianny'!L36</f>
        <v>0</v>
      </c>
      <c r="AI61" s="175">
        <f>'Yolla Aprilianny'!M21</f>
        <v>4000000</v>
      </c>
      <c r="AJ61" s="175">
        <f>'Yolla Aprilianny'!M36</f>
        <v>0</v>
      </c>
      <c r="AK61" s="175">
        <f>'Yolla Aprilianny'!N21</f>
        <v>0</v>
      </c>
      <c r="AL61" s="175">
        <f>'Yolla Aprilianny'!N36</f>
        <v>0</v>
      </c>
      <c r="AM61" s="187"/>
    </row>
    <row r="62" spans="1:39" x14ac:dyDescent="0.2">
      <c r="A62" s="197">
        <v>56</v>
      </c>
      <c r="B62" s="198" t="s">
        <v>522</v>
      </c>
      <c r="C62" s="200" t="s">
        <v>412</v>
      </c>
      <c r="D62" s="178" t="s">
        <v>413</v>
      </c>
      <c r="E62" s="153" t="s">
        <v>529</v>
      </c>
      <c r="F62" s="211" t="s">
        <v>148</v>
      </c>
      <c r="G62" s="197" t="s">
        <v>64</v>
      </c>
      <c r="H62" s="197"/>
      <c r="I62" s="202">
        <v>44286</v>
      </c>
      <c r="J62" s="212" t="s">
        <v>515</v>
      </c>
      <c r="K62" s="212"/>
      <c r="L62" s="197"/>
      <c r="M62" s="175">
        <f>'Yulius Alfredo'!C17</f>
        <v>0</v>
      </c>
      <c r="N62" s="175">
        <f>'Yulius Alfredo'!C32</f>
        <v>0</v>
      </c>
      <c r="O62" s="175">
        <f>'Yulius Alfredo'!D17</f>
        <v>0</v>
      </c>
      <c r="P62" s="175">
        <f>'Yulius Alfredo'!D32</f>
        <v>0</v>
      </c>
      <c r="Q62" s="175">
        <f>'Yulius Alfredo'!E17</f>
        <v>0</v>
      </c>
      <c r="R62" s="175">
        <f>'Yulius Alfredo'!E32</f>
        <v>0</v>
      </c>
      <c r="S62" s="175">
        <f>'Yulius Alfredo'!F17</f>
        <v>0</v>
      </c>
      <c r="T62" s="175">
        <f>'Yulius Alfredo'!F32</f>
        <v>0</v>
      </c>
      <c r="U62" s="175">
        <f>'Yulius Alfredo'!P16</f>
        <v>0</v>
      </c>
      <c r="V62" s="175">
        <f>'Yulius Alfredo'!P33</f>
        <v>0</v>
      </c>
      <c r="W62" s="175">
        <f>'Yulius Alfredo'!G17</f>
        <v>0</v>
      </c>
      <c r="X62" s="175">
        <f>'Yulius Alfredo'!G32</f>
        <v>0</v>
      </c>
      <c r="Y62" s="175">
        <f>'Yulius Alfredo'!H17</f>
        <v>0</v>
      </c>
      <c r="Z62" s="175">
        <f>'Yulius Alfredo'!H32</f>
        <v>0</v>
      </c>
      <c r="AA62" s="175">
        <f>'Yulius Alfredo'!I17</f>
        <v>0</v>
      </c>
      <c r="AB62" s="175">
        <f>'Yulius Alfredo'!I32</f>
        <v>0</v>
      </c>
      <c r="AC62" s="175">
        <f>'Yulius Alfredo'!J17</f>
        <v>0</v>
      </c>
      <c r="AD62" s="175">
        <f>'Yulius Alfredo'!J32</f>
        <v>0</v>
      </c>
      <c r="AE62" s="175">
        <f>'Yulius Alfredo'!K17</f>
        <v>0</v>
      </c>
      <c r="AF62" s="175">
        <f>'Yulius Alfredo'!K32</f>
        <v>0</v>
      </c>
      <c r="AG62" s="175">
        <f>'Yulius Alfredo'!L17</f>
        <v>0</v>
      </c>
      <c r="AH62" s="175">
        <f>'Yulius Alfredo'!L32</f>
        <v>0</v>
      </c>
      <c r="AI62" s="175">
        <f>'Yulius Alfredo'!M17</f>
        <v>0</v>
      </c>
      <c r="AJ62" s="175">
        <f>'Yulius Alfredo'!M32</f>
        <v>0</v>
      </c>
      <c r="AK62" s="175">
        <f>'Yulius Alfredo'!N17</f>
        <v>0</v>
      </c>
      <c r="AL62" s="175">
        <f>'Yulius Alfredo'!N32</f>
        <v>0</v>
      </c>
      <c r="AM62" s="187"/>
    </row>
    <row r="63" spans="1:39" x14ac:dyDescent="0.2">
      <c r="A63" s="197">
        <v>57</v>
      </c>
      <c r="B63" s="198" t="s">
        <v>522</v>
      </c>
      <c r="C63" s="200" t="s">
        <v>418</v>
      </c>
      <c r="D63" s="200" t="s">
        <v>419</v>
      </c>
      <c r="E63" s="153" t="s">
        <v>529</v>
      </c>
      <c r="F63" s="216" t="s">
        <v>148</v>
      </c>
      <c r="G63" s="197" t="s">
        <v>64</v>
      </c>
      <c r="H63" s="211"/>
      <c r="I63" s="202"/>
      <c r="J63" s="212" t="s">
        <v>496</v>
      </c>
      <c r="K63" s="212" t="s">
        <v>469</v>
      </c>
      <c r="L63" s="197"/>
      <c r="M63" s="175">
        <f>Zamroni!C21</f>
        <v>2750000</v>
      </c>
      <c r="N63" s="175">
        <f>Zamroni!C36</f>
        <v>0</v>
      </c>
      <c r="O63" s="175">
        <f>Zamroni!D21</f>
        <v>2750000</v>
      </c>
      <c r="P63" s="175">
        <f>Zamroni!D36</f>
        <v>0</v>
      </c>
      <c r="Q63" s="175">
        <f>Zamroni!E21</f>
        <v>2750000</v>
      </c>
      <c r="R63" s="175">
        <f>Zamroni!E36</f>
        <v>0</v>
      </c>
      <c r="S63" s="175">
        <f>Zamroni!F21</f>
        <v>2750000</v>
      </c>
      <c r="T63" s="176">
        <f>Zamroni!F36</f>
        <v>0</v>
      </c>
      <c r="U63" s="176">
        <f>Zamroni!P20</f>
        <v>2000000</v>
      </c>
      <c r="V63" s="176">
        <f>Zamroni!P37</f>
        <v>0</v>
      </c>
      <c r="W63" s="176">
        <f>Zamroni!G21</f>
        <v>2750000</v>
      </c>
      <c r="X63" s="176">
        <f>Zamroni!G36</f>
        <v>0</v>
      </c>
      <c r="Y63" s="176">
        <f>Zamroni!H21</f>
        <v>2850000</v>
      </c>
      <c r="Z63" s="176">
        <f>Zamroni!H36</f>
        <v>0</v>
      </c>
      <c r="AA63" s="176">
        <f>Zamroni!I21</f>
        <v>2850000</v>
      </c>
      <c r="AB63" s="176">
        <f>Zamroni!I36</f>
        <v>0</v>
      </c>
      <c r="AC63" s="176">
        <f>Zamroni!J21</f>
        <v>2750000</v>
      </c>
      <c r="AD63" s="176">
        <f>Zamroni!J36</f>
        <v>0</v>
      </c>
      <c r="AE63" s="176">
        <f>Zamroni!K21</f>
        <v>2850000</v>
      </c>
      <c r="AF63" s="176">
        <f>Zamroni!K36</f>
        <v>0</v>
      </c>
      <c r="AG63" s="176">
        <f>Zamroni!L21</f>
        <v>2850000</v>
      </c>
      <c r="AH63" s="176">
        <f>Zamroni!L36</f>
        <v>0</v>
      </c>
      <c r="AI63" s="176">
        <f>Zamroni!M21</f>
        <v>2750000</v>
      </c>
      <c r="AJ63" s="176">
        <f>Zamroni!M36</f>
        <v>0</v>
      </c>
      <c r="AK63" s="176">
        <f>Zamroni!N21</f>
        <v>2800000</v>
      </c>
      <c r="AL63" s="176">
        <f>Zamroni!N36</f>
        <v>0</v>
      </c>
      <c r="AM63" s="187"/>
    </row>
    <row r="64" spans="1:39" x14ac:dyDescent="0.2">
      <c r="A64" s="197">
        <v>58</v>
      </c>
      <c r="B64" s="198" t="s">
        <v>522</v>
      </c>
      <c r="C64" s="198"/>
      <c r="D64" s="178" t="s">
        <v>551</v>
      </c>
      <c r="E64" s="153" t="s">
        <v>529</v>
      </c>
      <c r="F64" s="211" t="s">
        <v>148</v>
      </c>
      <c r="G64" s="197" t="s">
        <v>64</v>
      </c>
      <c r="H64" s="214"/>
      <c r="I64" s="197"/>
      <c r="J64" s="203"/>
      <c r="K64" s="212" t="s">
        <v>554</v>
      </c>
      <c r="L64" s="197"/>
      <c r="M64" s="175">
        <f>'Braponta Sembiring Pandia'!C17</f>
        <v>0</v>
      </c>
      <c r="N64" s="175">
        <f>'Braponta Sembiring Pandia'!C32</f>
        <v>0</v>
      </c>
      <c r="O64" s="175">
        <f>'Braponta Sembiring Pandia'!D17</f>
        <v>0</v>
      </c>
      <c r="P64" s="175">
        <f>'Braponta Sembiring Pandia'!D32</f>
        <v>0</v>
      </c>
      <c r="Q64" s="175">
        <f>'Braponta Sembiring Pandia'!E17</f>
        <v>0</v>
      </c>
      <c r="R64" s="175">
        <f>'Braponta Sembiring Pandia'!E32</f>
        <v>0</v>
      </c>
      <c r="S64" s="175">
        <f>'Braponta Sembiring Pandia'!F17</f>
        <v>0</v>
      </c>
      <c r="T64" s="175">
        <f>'Braponta Sembiring Pandia'!F32</f>
        <v>0</v>
      </c>
      <c r="U64" s="175">
        <f>'Braponta Sembiring Pandia'!P16</f>
        <v>0</v>
      </c>
      <c r="V64" s="175">
        <f>'Braponta Sembiring Pandia'!P33</f>
        <v>0</v>
      </c>
      <c r="W64" s="175">
        <f>'Braponta Sembiring Pandia'!G17</f>
        <v>0</v>
      </c>
      <c r="X64" s="175">
        <f>'Braponta Sembiring Pandia'!G32</f>
        <v>0</v>
      </c>
      <c r="Y64" s="175">
        <f>'Braponta Sembiring Pandia'!H17</f>
        <v>0</v>
      </c>
      <c r="Z64" s="175">
        <f>'Braponta Sembiring Pandia'!H32</f>
        <v>0</v>
      </c>
      <c r="AA64" s="175">
        <f>'Braponta Sembiring Pandia'!I17</f>
        <v>0</v>
      </c>
      <c r="AB64" s="175">
        <f>'Braponta Sembiring Pandia'!I32</f>
        <v>0</v>
      </c>
      <c r="AC64" s="175">
        <f>'Braponta Sembiring Pandia'!J17</f>
        <v>0</v>
      </c>
      <c r="AD64" s="175">
        <f>'Braponta Sembiring Pandia'!J32</f>
        <v>0</v>
      </c>
      <c r="AE64" s="175">
        <f>'Braponta Sembiring Pandia'!K17</f>
        <v>0</v>
      </c>
      <c r="AF64" s="175">
        <f>'Braponta Sembiring Pandia'!K32</f>
        <v>0</v>
      </c>
      <c r="AG64" s="175">
        <f>'Braponta Sembiring Pandia'!L17</f>
        <v>0</v>
      </c>
      <c r="AH64" s="175">
        <f>'Braponta Sembiring Pandia'!L32</f>
        <v>0</v>
      </c>
      <c r="AI64" s="175">
        <f>'Braponta Sembiring Pandia'!M17</f>
        <v>0</v>
      </c>
      <c r="AJ64" s="175">
        <f>'Braponta Sembiring Pandia'!M32</f>
        <v>0</v>
      </c>
      <c r="AK64" s="175">
        <f>'Braponta Sembiring Pandia'!N17</f>
        <v>0</v>
      </c>
      <c r="AL64" s="175">
        <f>'Braponta Sembiring Pandia'!N32</f>
        <v>0</v>
      </c>
      <c r="AM64" s="187"/>
    </row>
    <row r="65" spans="1:39" x14ac:dyDescent="0.2">
      <c r="A65" s="197">
        <v>59</v>
      </c>
      <c r="B65" s="198" t="s">
        <v>522</v>
      </c>
      <c r="C65" s="198"/>
      <c r="D65" s="178" t="s">
        <v>552</v>
      </c>
      <c r="E65" s="153" t="s">
        <v>529</v>
      </c>
      <c r="F65" s="211" t="s">
        <v>148</v>
      </c>
      <c r="G65" s="197" t="s">
        <v>64</v>
      </c>
      <c r="H65" s="214"/>
      <c r="I65" s="197"/>
      <c r="J65" s="203"/>
      <c r="K65" s="212" t="s">
        <v>554</v>
      </c>
      <c r="L65" s="197"/>
      <c r="M65" s="175">
        <f>'Dimas Hardianto Saputro'!C17</f>
        <v>0</v>
      </c>
      <c r="N65" s="175">
        <f>'Dimas Hardianto Saputro'!C32</f>
        <v>0</v>
      </c>
      <c r="O65" s="175">
        <f>'Dimas Hardianto Saputro'!D17</f>
        <v>0</v>
      </c>
      <c r="P65" s="175">
        <f>'Dimas Hardianto Saputro'!D32</f>
        <v>0</v>
      </c>
      <c r="Q65" s="175">
        <f>'Dimas Hardianto Saputro'!E17</f>
        <v>0</v>
      </c>
      <c r="R65" s="175">
        <f>'Dimas Hardianto Saputro'!E32</f>
        <v>0</v>
      </c>
      <c r="S65" s="175">
        <f>'Dimas Hardianto Saputro'!F17</f>
        <v>0</v>
      </c>
      <c r="T65" s="175">
        <f>'Dimas Hardianto Saputro'!F32</f>
        <v>0</v>
      </c>
      <c r="U65" s="175">
        <f>'Dimas Hardianto Saputro'!P16</f>
        <v>0</v>
      </c>
      <c r="V65" s="175">
        <f>'Dimas Hardianto Saputro'!P33</f>
        <v>0</v>
      </c>
      <c r="W65" s="175">
        <f>'Dimas Hardianto Saputro'!G17</f>
        <v>0</v>
      </c>
      <c r="X65" s="175">
        <f>'Dimas Hardianto Saputro'!G32</f>
        <v>0</v>
      </c>
      <c r="Y65" s="175">
        <f>'Dimas Hardianto Saputro'!H17</f>
        <v>0</v>
      </c>
      <c r="Z65" s="175">
        <f>'Dimas Hardianto Saputro'!H32</f>
        <v>0</v>
      </c>
      <c r="AA65" s="175">
        <f>'Dimas Hardianto Saputro'!I17</f>
        <v>0</v>
      </c>
      <c r="AB65" s="175">
        <f>'Dimas Hardianto Saputro'!I32</f>
        <v>0</v>
      </c>
      <c r="AC65" s="175">
        <f>'Dimas Hardianto Saputro'!J17</f>
        <v>0</v>
      </c>
      <c r="AD65" s="175">
        <f>'Dimas Hardianto Saputro'!J32</f>
        <v>0</v>
      </c>
      <c r="AE65" s="175">
        <f>'Dimas Hardianto Saputro'!K17</f>
        <v>0</v>
      </c>
      <c r="AF65" s="175">
        <f>'Dimas Hardianto Saputro'!K32</f>
        <v>0</v>
      </c>
      <c r="AG65" s="175">
        <f>'Dimas Hardianto Saputro'!L17</f>
        <v>0</v>
      </c>
      <c r="AH65" s="175">
        <f>'Dimas Hardianto Saputro'!L32</f>
        <v>0</v>
      </c>
      <c r="AI65" s="175">
        <f>'Dimas Hardianto Saputro'!M17</f>
        <v>0</v>
      </c>
      <c r="AJ65" s="175">
        <f>'Dimas Hardianto Saputro'!M32</f>
        <v>0</v>
      </c>
      <c r="AK65" s="175">
        <f>'Dimas Hardianto Saputro'!N17</f>
        <v>0</v>
      </c>
      <c r="AL65" s="175">
        <f>'Dimas Hardianto Saputro'!N32</f>
        <v>0</v>
      </c>
      <c r="AM65" s="187"/>
    </row>
    <row r="66" spans="1:39" x14ac:dyDescent="0.2">
      <c r="A66" s="197">
        <v>60</v>
      </c>
      <c r="B66" s="198" t="s">
        <v>522</v>
      </c>
      <c r="C66" s="198"/>
      <c r="D66" s="178" t="s">
        <v>550</v>
      </c>
      <c r="E66" s="153" t="s">
        <v>529</v>
      </c>
      <c r="F66" s="211" t="s">
        <v>148</v>
      </c>
      <c r="G66" s="197" t="s">
        <v>64</v>
      </c>
      <c r="H66" s="214"/>
      <c r="I66" s="197"/>
      <c r="J66" s="203"/>
      <c r="K66" s="212" t="s">
        <v>553</v>
      </c>
      <c r="L66" s="197"/>
      <c r="M66" s="175">
        <f>'Ibnu Mubarok'!C21</f>
        <v>2500000</v>
      </c>
      <c r="N66" s="175">
        <f>'Ibnu Mubarok'!C36</f>
        <v>0</v>
      </c>
      <c r="O66" s="175">
        <f>'Ibnu Mubarok'!D21</f>
        <v>2500000</v>
      </c>
      <c r="P66" s="175">
        <f>'Ibnu Mubarok'!D36</f>
        <v>0</v>
      </c>
      <c r="Q66" s="175">
        <f>'Ibnu Mubarok'!E21</f>
        <v>2500000</v>
      </c>
      <c r="R66" s="175">
        <f>'Ibnu Mubarok'!E36</f>
        <v>0</v>
      </c>
      <c r="S66" s="175">
        <f>'Ibnu Mubarok'!F21</f>
        <v>2500000</v>
      </c>
      <c r="T66" s="175">
        <f>'Ibnu Mubarok'!F36</f>
        <v>0</v>
      </c>
      <c r="U66" s="175">
        <f>'Ibnu Mubarok'!P20</f>
        <v>2500000</v>
      </c>
      <c r="V66" s="175">
        <f>'Ibnu Mubarok'!P37</f>
        <v>0</v>
      </c>
      <c r="W66" s="175">
        <f>'Ibnu Mubarok'!G21</f>
        <v>2500000</v>
      </c>
      <c r="X66" s="175">
        <f>'Ibnu Mubarok'!G36</f>
        <v>0</v>
      </c>
      <c r="Y66" s="175">
        <f>'Ibnu Mubarok'!H21</f>
        <v>2600000</v>
      </c>
      <c r="Z66" s="175">
        <f>'Ibnu Mubarok'!H36</f>
        <v>0</v>
      </c>
      <c r="AA66" s="175">
        <f>'Ibnu Mubarok'!I21</f>
        <v>2600000</v>
      </c>
      <c r="AB66" s="175">
        <f>'Ibnu Mubarok'!I36</f>
        <v>0</v>
      </c>
      <c r="AC66" s="175">
        <f>'Ibnu Mubarok'!J21</f>
        <v>2550000</v>
      </c>
      <c r="AD66" s="175">
        <f>'Ibnu Mubarok'!J36</f>
        <v>0</v>
      </c>
      <c r="AE66" s="175">
        <f>'Ibnu Mubarok'!K21</f>
        <v>3600000</v>
      </c>
      <c r="AF66" s="175">
        <f>'Ibnu Mubarok'!K36</f>
        <v>0</v>
      </c>
      <c r="AG66" s="175">
        <f>'Ibnu Mubarok'!L21</f>
        <v>3600000</v>
      </c>
      <c r="AH66" s="175">
        <f>'Ibnu Mubarok'!L36</f>
        <v>0</v>
      </c>
      <c r="AI66" s="175">
        <f>'Ibnu Mubarok'!M21</f>
        <v>3750000</v>
      </c>
      <c r="AJ66" s="175">
        <f>'Ibnu Mubarok'!M36</f>
        <v>0</v>
      </c>
      <c r="AK66" s="175">
        <f>'Ibnu Mubarok'!N21</f>
        <v>3600000</v>
      </c>
      <c r="AL66" s="175">
        <f>'Ibnu Mubarok'!N36</f>
        <v>0</v>
      </c>
      <c r="AM66" s="187"/>
    </row>
    <row r="67" spans="1:39" x14ac:dyDescent="0.2">
      <c r="A67" s="197">
        <v>61</v>
      </c>
      <c r="B67" s="198" t="s">
        <v>522</v>
      </c>
      <c r="C67" s="198"/>
      <c r="D67" s="178" t="s">
        <v>579</v>
      </c>
      <c r="E67" s="153" t="s">
        <v>529</v>
      </c>
      <c r="F67" s="211" t="s">
        <v>148</v>
      </c>
      <c r="G67" s="197" t="s">
        <v>64</v>
      </c>
      <c r="H67" s="214"/>
      <c r="I67" s="197"/>
      <c r="J67" s="203"/>
      <c r="K67" s="212"/>
      <c r="L67" s="197"/>
      <c r="M67" s="175">
        <f>'Mario Agustian Lasut'!C17</f>
        <v>0</v>
      </c>
      <c r="N67" s="175">
        <f>'Mario Agustian Lasut'!C32</f>
        <v>0</v>
      </c>
      <c r="O67" s="175">
        <f>'Mario Agustian Lasut'!D17</f>
        <v>0</v>
      </c>
      <c r="P67" s="175">
        <f>'Mario Agustian Lasut'!D32</f>
        <v>0</v>
      </c>
      <c r="Q67" s="175">
        <f>'Mario Agustian Lasut'!E17</f>
        <v>0</v>
      </c>
      <c r="R67" s="175">
        <f>'Mario Agustian Lasut'!E32</f>
        <v>0</v>
      </c>
      <c r="S67" s="175">
        <f>'Mario Agustian Lasut'!F17</f>
        <v>0</v>
      </c>
      <c r="T67" s="175">
        <f>'Mario Agustian Lasut'!F32</f>
        <v>0</v>
      </c>
      <c r="U67" s="175">
        <f>'Mario Agustian Lasut'!P16</f>
        <v>0</v>
      </c>
      <c r="V67" s="175">
        <f>'Mario Agustian Lasut'!P33</f>
        <v>0</v>
      </c>
      <c r="W67" s="175">
        <f>'Mario Agustian Lasut'!G17</f>
        <v>0</v>
      </c>
      <c r="X67" s="175">
        <f>'Mario Agustian Lasut'!G32</f>
        <v>0</v>
      </c>
      <c r="Y67" s="175">
        <f>'Mario Agustian Lasut'!H17</f>
        <v>0</v>
      </c>
      <c r="Z67" s="175">
        <f>'Mario Agustian Lasut'!H32</f>
        <v>0</v>
      </c>
      <c r="AA67" s="175">
        <f>'Mario Agustian Lasut'!I17</f>
        <v>0</v>
      </c>
      <c r="AB67" s="175">
        <f>'Mario Agustian Lasut'!I32</f>
        <v>0</v>
      </c>
      <c r="AC67" s="175">
        <f>'Mario Agustian Lasut'!J17</f>
        <v>0</v>
      </c>
      <c r="AD67" s="175">
        <f>'Mario Agustian Lasut'!J32</f>
        <v>0</v>
      </c>
      <c r="AE67" s="175">
        <f>'Mario Agustian Lasut'!K17</f>
        <v>0</v>
      </c>
      <c r="AF67" s="175">
        <f>'Mario Agustian Lasut'!K32</f>
        <v>0</v>
      </c>
      <c r="AG67" s="175">
        <f>'Mario Agustian Lasut'!L17</f>
        <v>0</v>
      </c>
      <c r="AH67" s="175">
        <f>'Mario Agustian Lasut'!L32</f>
        <v>0</v>
      </c>
      <c r="AI67" s="175">
        <f>'Mario Agustian Lasut'!M17</f>
        <v>0</v>
      </c>
      <c r="AJ67" s="175">
        <f>'Mario Agustian Lasut'!M32</f>
        <v>0</v>
      </c>
      <c r="AK67" s="175">
        <f>'Mario Agustian Lasut'!N17</f>
        <v>0</v>
      </c>
      <c r="AL67" s="175">
        <f>'Mario Agustian Lasut'!N32</f>
        <v>0</v>
      </c>
      <c r="AM67" s="187"/>
    </row>
    <row r="68" spans="1:39" x14ac:dyDescent="0.2">
      <c r="A68" s="197">
        <v>62</v>
      </c>
      <c r="B68" s="198" t="s">
        <v>522</v>
      </c>
      <c r="C68" s="198"/>
      <c r="D68" s="178" t="s">
        <v>549</v>
      </c>
      <c r="E68" s="152" t="s">
        <v>529</v>
      </c>
      <c r="F68" s="211" t="s">
        <v>148</v>
      </c>
      <c r="G68" s="197" t="s">
        <v>64</v>
      </c>
      <c r="H68" s="214"/>
      <c r="I68" s="197"/>
      <c r="J68" s="203"/>
      <c r="K68" s="212" t="s">
        <v>553</v>
      </c>
      <c r="L68" s="197"/>
      <c r="M68" s="175">
        <f>'Muhammad Iin Bahrain'!C21</f>
        <v>2000000</v>
      </c>
      <c r="N68" s="175">
        <f>'Muhammad Iin Bahrain'!C36</f>
        <v>0</v>
      </c>
      <c r="O68" s="175">
        <f>'Muhammad Iin Bahrain'!D21</f>
        <v>2000000</v>
      </c>
      <c r="P68" s="175">
        <f>'Muhammad Iin Bahrain'!D36</f>
        <v>0</v>
      </c>
      <c r="Q68" s="175">
        <f>'Muhammad Iin Bahrain'!E21</f>
        <v>2000000</v>
      </c>
      <c r="R68" s="175">
        <f>'Muhammad Iin Bahrain'!E36</f>
        <v>0</v>
      </c>
      <c r="S68" s="175">
        <f>'Muhammad Iin Bahrain'!F21</f>
        <v>0</v>
      </c>
      <c r="T68" s="175">
        <f>'Muhammad Iin Bahrain'!F36</f>
        <v>0</v>
      </c>
      <c r="U68" s="175">
        <f>'Muhammad Iin Bahrain'!P20</f>
        <v>0</v>
      </c>
      <c r="V68" s="175">
        <f>'Muhammad Iin Bahrain'!P37</f>
        <v>0</v>
      </c>
      <c r="W68" s="175">
        <f>'Muhammad Iin Bahrain'!G21</f>
        <v>2000000</v>
      </c>
      <c r="X68" s="175">
        <f>'Muhammad Iin Bahrain'!G36</f>
        <v>0</v>
      </c>
      <c r="Y68" s="175">
        <f>'Muhammad Iin Bahrain'!H21</f>
        <v>2500000</v>
      </c>
      <c r="Z68" s="175">
        <f>'Muhammad Iin Bahrain'!H36</f>
        <v>0</v>
      </c>
      <c r="AA68" s="175">
        <f>'Muhammad Iin Bahrain'!I21</f>
        <v>0</v>
      </c>
      <c r="AB68" s="175">
        <f>'Muhammad Iin Bahrain'!I36</f>
        <v>0</v>
      </c>
      <c r="AC68" s="175">
        <f>'Muhammad Iin Bahrain'!J21</f>
        <v>0</v>
      </c>
      <c r="AD68" s="175">
        <f>'Muhammad Iin Bahrain'!J36</f>
        <v>0</v>
      </c>
      <c r="AE68" s="175">
        <f>'Muhammad Iin Bahrain'!K21</f>
        <v>0</v>
      </c>
      <c r="AF68" s="175">
        <f>'Muhammad Iin Bahrain'!K36</f>
        <v>0</v>
      </c>
      <c r="AG68" s="175">
        <f>'Muhammad Iin Bahrain'!L21</f>
        <v>0</v>
      </c>
      <c r="AH68" s="175">
        <f>'Muhammad Iin Bahrain'!L36</f>
        <v>0</v>
      </c>
      <c r="AI68" s="175">
        <f>'Muhammad Iin Bahrain'!M21</f>
        <v>0</v>
      </c>
      <c r="AJ68" s="175">
        <f>'Muhammad Iin Bahrain'!M36</f>
        <v>0</v>
      </c>
      <c r="AK68" s="175">
        <f>'Muhammad Iin Bahrain'!N21</f>
        <v>0</v>
      </c>
      <c r="AL68" s="175">
        <f>'Muhammad Iin Bahrain'!N36</f>
        <v>0</v>
      </c>
      <c r="AM68" s="187"/>
    </row>
    <row r="69" spans="1:39" x14ac:dyDescent="0.2">
      <c r="A69" s="197">
        <v>63</v>
      </c>
      <c r="B69" s="198" t="s">
        <v>522</v>
      </c>
      <c r="C69" s="200"/>
      <c r="D69" s="178" t="s">
        <v>452</v>
      </c>
      <c r="E69" s="152" t="s">
        <v>529</v>
      </c>
      <c r="F69" s="211" t="s">
        <v>148</v>
      </c>
      <c r="G69" s="197" t="s">
        <v>64</v>
      </c>
      <c r="H69" s="214">
        <v>44228</v>
      </c>
      <c r="I69" s="197"/>
      <c r="J69" s="212"/>
      <c r="K69" s="212"/>
      <c r="L69" s="197"/>
      <c r="M69" s="175">
        <f>'Muhammad Kajoen'!C17</f>
        <v>0</v>
      </c>
      <c r="N69" s="175">
        <f>'Muhammad Kajoen'!C32</f>
        <v>0</v>
      </c>
      <c r="O69" s="175">
        <f>'Muhammad Kajoen'!D17</f>
        <v>0</v>
      </c>
      <c r="P69" s="175">
        <f>'Muhammad Kajoen'!D32</f>
        <v>0</v>
      </c>
      <c r="Q69" s="175">
        <f>'Muhammad Kajoen'!E17</f>
        <v>0</v>
      </c>
      <c r="R69" s="175">
        <f>'Muhammad Kajoen'!E32</f>
        <v>0</v>
      </c>
      <c r="S69" s="175">
        <f>'Muhammad Kajoen'!F17</f>
        <v>0</v>
      </c>
      <c r="T69" s="175">
        <f>'Muhammad Kajoen'!F32</f>
        <v>0</v>
      </c>
      <c r="U69" s="175">
        <f>'Muhammad Kajoen'!P16</f>
        <v>0</v>
      </c>
      <c r="V69" s="175">
        <f>'Muhammad Kajoen'!P33</f>
        <v>0</v>
      </c>
      <c r="W69" s="175">
        <f>'Muhammad Kajoen'!G17</f>
        <v>0</v>
      </c>
      <c r="X69" s="175">
        <f>'Muhammad Kajoen'!G32</f>
        <v>0</v>
      </c>
      <c r="Y69" s="175">
        <f>'Muhammad Kajoen'!H17</f>
        <v>0</v>
      </c>
      <c r="Z69" s="175">
        <f>'Muhammad Kajoen'!H32</f>
        <v>0</v>
      </c>
      <c r="AA69" s="175">
        <f>'Muhammad Kajoen'!I17</f>
        <v>0</v>
      </c>
      <c r="AB69" s="175">
        <f>'Muhammad Kajoen'!I32</f>
        <v>0</v>
      </c>
      <c r="AC69" s="175">
        <f>'Muhammad Kajoen'!J17</f>
        <v>0</v>
      </c>
      <c r="AD69" s="175">
        <f>'Muhammad Kajoen'!J32</f>
        <v>0</v>
      </c>
      <c r="AE69" s="175">
        <f>'Muhammad Kajoen'!K17</f>
        <v>0</v>
      </c>
      <c r="AF69" s="175">
        <f>'Muhammad Kajoen'!K32</f>
        <v>0</v>
      </c>
      <c r="AG69" s="175">
        <f>'Muhammad Kajoen'!L17</f>
        <v>0</v>
      </c>
      <c r="AH69" s="175">
        <f>'Muhammad Kajoen'!L32</f>
        <v>0</v>
      </c>
      <c r="AI69" s="175">
        <f>'Muhammad Kajoen'!M17</f>
        <v>0</v>
      </c>
      <c r="AJ69" s="175">
        <f>'Muhammad Kajoen'!M32</f>
        <v>0</v>
      </c>
      <c r="AK69" s="175">
        <f>'Muhammad Kajoen'!N17</f>
        <v>0</v>
      </c>
      <c r="AL69" s="175">
        <f>'Muhammad Kajoen'!N32</f>
        <v>0</v>
      </c>
      <c r="AM69" s="187"/>
    </row>
    <row r="70" spans="1:39" x14ac:dyDescent="0.2">
      <c r="A70" s="197">
        <v>64</v>
      </c>
      <c r="B70" s="198" t="s">
        <v>522</v>
      </c>
      <c r="C70" s="198" t="s">
        <v>561</v>
      </c>
      <c r="D70" s="178" t="s">
        <v>451</v>
      </c>
      <c r="E70" s="155" t="s">
        <v>530</v>
      </c>
      <c r="F70" s="211" t="s">
        <v>116</v>
      </c>
      <c r="G70" s="197" t="s">
        <v>64</v>
      </c>
      <c r="H70" s="214">
        <v>44228</v>
      </c>
      <c r="I70" s="197"/>
      <c r="J70" s="212"/>
      <c r="K70" s="212"/>
      <c r="L70" s="197"/>
      <c r="M70" s="175">
        <f>'Onny Putranti'!C21</f>
        <v>1500000</v>
      </c>
      <c r="N70" s="175">
        <f>'Onny Putranti'!C36</f>
        <v>0</v>
      </c>
      <c r="O70" s="175">
        <f>'Onny Putranti'!D21</f>
        <v>1500000</v>
      </c>
      <c r="P70" s="175">
        <f>'Onny Putranti'!D36</f>
        <v>0</v>
      </c>
      <c r="Q70" s="175">
        <f>'Onny Putranti'!E21</f>
        <v>1500000</v>
      </c>
      <c r="R70" s="175">
        <f>'Onny Putranti'!E36</f>
        <v>0</v>
      </c>
      <c r="S70" s="175">
        <f>'Onny Putranti'!F21</f>
        <v>1500000</v>
      </c>
      <c r="T70" s="175">
        <f>'Onny Putranti'!F36</f>
        <v>0</v>
      </c>
      <c r="U70" s="175">
        <f>'Onny Putranti'!P20</f>
        <v>1500000</v>
      </c>
      <c r="V70" s="175">
        <f>'Onny Putranti'!P37</f>
        <v>0</v>
      </c>
      <c r="W70" s="175">
        <f>'Onny Putranti'!G21</f>
        <v>1500000</v>
      </c>
      <c r="X70" s="175">
        <f>'Onny Putranti'!G36</f>
        <v>0</v>
      </c>
      <c r="Y70" s="175">
        <f>'Onny Putranti'!H21</f>
        <v>1500000</v>
      </c>
      <c r="Z70" s="175">
        <f>'Onny Putranti'!H36</f>
        <v>0</v>
      </c>
      <c r="AA70" s="175">
        <f>'Onny Putranti'!I21</f>
        <v>1500000</v>
      </c>
      <c r="AB70" s="175">
        <f>'Onny Putranti'!I36</f>
        <v>0</v>
      </c>
      <c r="AC70" s="175">
        <f>'Onny Putranti'!J21</f>
        <v>1500000</v>
      </c>
      <c r="AD70" s="175">
        <f>'Onny Putranti'!J36</f>
        <v>0</v>
      </c>
      <c r="AE70" s="175">
        <f>'Onny Putranti'!K21</f>
        <v>1500000</v>
      </c>
      <c r="AF70" s="175">
        <f>'Onny Putranti'!K36</f>
        <v>0</v>
      </c>
      <c r="AG70" s="175">
        <f>'Onny Putranti'!L21</f>
        <v>1500000</v>
      </c>
      <c r="AH70" s="175">
        <f>'Onny Putranti'!L36</f>
        <v>0</v>
      </c>
      <c r="AI70" s="175">
        <f>'Onny Putranti'!M21</f>
        <v>1500000</v>
      </c>
      <c r="AJ70" s="175">
        <f>'Onny Putranti'!M36</f>
        <v>0</v>
      </c>
      <c r="AK70" s="175">
        <f>'Onny Putranti'!N21</f>
        <v>1500000</v>
      </c>
      <c r="AL70" s="175">
        <f>'Onny Putranti'!N36</f>
        <v>0</v>
      </c>
      <c r="AM70" s="187"/>
    </row>
    <row r="71" spans="1:39" x14ac:dyDescent="0.2">
      <c r="A71" s="197">
        <v>65</v>
      </c>
      <c r="B71" s="198" t="s">
        <v>522</v>
      </c>
      <c r="C71" s="198"/>
      <c r="D71" s="178" t="s">
        <v>694</v>
      </c>
      <c r="E71" s="152" t="s">
        <v>529</v>
      </c>
      <c r="F71" s="211" t="s">
        <v>116</v>
      </c>
      <c r="G71" s="197" t="s">
        <v>64</v>
      </c>
      <c r="H71" s="214">
        <v>44228</v>
      </c>
      <c r="I71" s="197"/>
      <c r="J71" s="212"/>
      <c r="K71" s="212"/>
      <c r="L71" s="197"/>
      <c r="M71" s="175">
        <f>'Rohim Akbar'!C21</f>
        <v>0</v>
      </c>
      <c r="N71" s="175">
        <f>'Rohim Akbar'!C36</f>
        <v>0</v>
      </c>
      <c r="O71" s="175">
        <f>'Rohim Akbar'!D21</f>
        <v>0</v>
      </c>
      <c r="P71" s="175">
        <f>'Rohim Akbar'!D36</f>
        <v>0</v>
      </c>
      <c r="Q71" s="175">
        <f>'Rohim Akbar'!E21</f>
        <v>0</v>
      </c>
      <c r="R71" s="175">
        <f>'Rohim Akbar'!E36</f>
        <v>0</v>
      </c>
      <c r="S71" s="175">
        <f>'Rohim Akbar'!F21</f>
        <v>0</v>
      </c>
      <c r="T71" s="175">
        <f>'Rohim Akbar'!F36</f>
        <v>0</v>
      </c>
      <c r="U71" s="175">
        <f>'Rohim Akbar'!P20</f>
        <v>0</v>
      </c>
      <c r="V71" s="175">
        <f>'Rohim Akbar'!P37</f>
        <v>0</v>
      </c>
      <c r="W71" s="175">
        <f>'Rohim Akbar'!G21</f>
        <v>0</v>
      </c>
      <c r="X71" s="175">
        <f>'Rohim Akbar'!G36</f>
        <v>0</v>
      </c>
      <c r="Y71" s="175">
        <f>'Rohim Akbar'!H21</f>
        <v>0</v>
      </c>
      <c r="Z71" s="175">
        <f>'Rohim Akbar'!H36</f>
        <v>0</v>
      </c>
      <c r="AA71" s="175">
        <f>'Rohim Akbar'!I21</f>
        <v>0</v>
      </c>
      <c r="AB71" s="175">
        <f>'Rohim Akbar'!I36</f>
        <v>0</v>
      </c>
      <c r="AC71" s="175">
        <f>'Rohim Akbar'!J21</f>
        <v>0</v>
      </c>
      <c r="AD71" s="175">
        <f>'Rohim Akbar'!J36</f>
        <v>0</v>
      </c>
      <c r="AE71" s="175">
        <f>'Rohim Akbar'!K21</f>
        <v>0</v>
      </c>
      <c r="AF71" s="175">
        <f>'Rohim Akbar'!K36</f>
        <v>0</v>
      </c>
      <c r="AG71" s="175">
        <f>'Rohim Akbar'!L21</f>
        <v>0</v>
      </c>
      <c r="AH71" s="175">
        <f>'Rohim Akbar'!L36</f>
        <v>0</v>
      </c>
      <c r="AI71" s="175">
        <f>'Rohim Akbar'!M21</f>
        <v>0</v>
      </c>
      <c r="AJ71" s="175">
        <f>'Rohim Akbar'!M36</f>
        <v>0</v>
      </c>
      <c r="AK71" s="175">
        <f>'Rohim Akbar'!N21</f>
        <v>1500000</v>
      </c>
      <c r="AL71" s="175">
        <f>'Rohim Akbar'!N36</f>
        <v>0</v>
      </c>
      <c r="AM71" s="187"/>
    </row>
    <row r="72" spans="1:39" x14ac:dyDescent="0.2">
      <c r="A72" s="197">
        <v>66</v>
      </c>
      <c r="B72" s="198" t="s">
        <v>522</v>
      </c>
      <c r="C72" s="198"/>
      <c r="D72" s="178" t="s">
        <v>578</v>
      </c>
      <c r="E72" s="152" t="s">
        <v>529</v>
      </c>
      <c r="F72" s="211" t="s">
        <v>116</v>
      </c>
      <c r="G72" s="197" t="s">
        <v>67</v>
      </c>
      <c r="H72" s="214">
        <v>44228</v>
      </c>
      <c r="I72" s="197"/>
      <c r="J72" s="212"/>
      <c r="K72" s="212"/>
      <c r="L72" s="197"/>
      <c r="M72" s="175">
        <f>'Shabrina Adani'!C17</f>
        <v>0</v>
      </c>
      <c r="N72" s="175">
        <f>'Shabrina Adani'!C32</f>
        <v>0</v>
      </c>
      <c r="O72" s="175">
        <f>'Shabrina Adani'!D17</f>
        <v>0</v>
      </c>
      <c r="P72" s="175">
        <f>'Shabrina Adani'!D32</f>
        <v>0</v>
      </c>
      <c r="Q72" s="175">
        <f>'Shabrina Adani'!E17</f>
        <v>0</v>
      </c>
      <c r="R72" s="175">
        <f>'Shabrina Adani'!E32</f>
        <v>0</v>
      </c>
      <c r="S72" s="175">
        <f>'Shabrina Adani'!F17</f>
        <v>0</v>
      </c>
      <c r="T72" s="175">
        <f>'Shabrina Adani'!F32</f>
        <v>0</v>
      </c>
      <c r="U72" s="175">
        <f>'Shabrina Adani'!P16</f>
        <v>0</v>
      </c>
      <c r="V72" s="175">
        <f>'Shabrina Adani'!P33</f>
        <v>0</v>
      </c>
      <c r="W72" s="175">
        <f>'Shabrina Adani'!G17</f>
        <v>0</v>
      </c>
      <c r="X72" s="175">
        <f>'Shabrina Adani'!G32</f>
        <v>0</v>
      </c>
      <c r="Y72" s="175">
        <f>'Shabrina Adani'!H17</f>
        <v>0</v>
      </c>
      <c r="Z72" s="175">
        <f>'Shabrina Adani'!H32</f>
        <v>0</v>
      </c>
      <c r="AA72" s="175">
        <f>'Shabrina Adani'!I17</f>
        <v>0</v>
      </c>
      <c r="AB72" s="175">
        <f>'Shabrina Adani'!I32</f>
        <v>0</v>
      </c>
      <c r="AC72" s="175">
        <f>'Shabrina Adani'!J17</f>
        <v>0</v>
      </c>
      <c r="AD72" s="175">
        <f>'Shabrina Adani'!J32</f>
        <v>0</v>
      </c>
      <c r="AE72" s="175">
        <f>'Shabrina Adani'!K17</f>
        <v>0</v>
      </c>
      <c r="AF72" s="175">
        <f>'Shabrina Adani'!K32</f>
        <v>0</v>
      </c>
      <c r="AG72" s="175">
        <f>'Shabrina Adani'!L17</f>
        <v>0</v>
      </c>
      <c r="AH72" s="175">
        <f>'Shabrina Adani'!L32</f>
        <v>0</v>
      </c>
      <c r="AI72" s="175">
        <f>'Shabrina Adani'!M17</f>
        <v>0</v>
      </c>
      <c r="AJ72" s="175">
        <f>'Shabrina Adani'!M32</f>
        <v>0</v>
      </c>
      <c r="AK72" s="175">
        <f>'Shabrina Adani'!N17</f>
        <v>0</v>
      </c>
      <c r="AL72" s="175">
        <f>'Shabrina Adani'!N32</f>
        <v>0</v>
      </c>
      <c r="AM72" s="187"/>
    </row>
    <row r="73" spans="1:39" x14ac:dyDescent="0.2">
      <c r="A73" s="197">
        <v>67</v>
      </c>
      <c r="B73" s="198" t="s">
        <v>522</v>
      </c>
      <c r="C73" s="198"/>
      <c r="D73" s="178" t="s">
        <v>695</v>
      </c>
      <c r="E73" s="152" t="s">
        <v>529</v>
      </c>
      <c r="F73" s="211" t="s">
        <v>148</v>
      </c>
      <c r="G73" s="197" t="s">
        <v>64</v>
      </c>
      <c r="H73" s="214"/>
      <c r="I73" s="197"/>
      <c r="J73" s="212"/>
      <c r="K73" s="212"/>
      <c r="L73" s="197"/>
      <c r="M73" s="175">
        <f>'Wahilul Syahid Rido'!C$21</f>
        <v>0</v>
      </c>
      <c r="N73" s="175">
        <f>'Wahilul Syahid Rido'!C$36</f>
        <v>0</v>
      </c>
      <c r="O73" s="175">
        <f>'Wahilul Syahid Rido'!D$21</f>
        <v>0</v>
      </c>
      <c r="P73" s="175">
        <f>'Wahilul Syahid Rido'!D$36</f>
        <v>0</v>
      </c>
      <c r="Q73" s="175">
        <f>'Wahilul Syahid Rido'!E$21</f>
        <v>0</v>
      </c>
      <c r="R73" s="175">
        <f>'Wahilul Syahid Rido'!E$36</f>
        <v>0</v>
      </c>
      <c r="S73" s="175">
        <f>'Wahilul Syahid Rido'!F$21</f>
        <v>0</v>
      </c>
      <c r="T73" s="175">
        <f>'Wahilul Syahid Rido'!F$36</f>
        <v>0</v>
      </c>
      <c r="U73" s="175">
        <f>'Wahilul Syahid Rido'!P$20</f>
        <v>0</v>
      </c>
      <c r="V73" s="175">
        <f>'Wahilul Syahid Rido'!P$37</f>
        <v>0</v>
      </c>
      <c r="W73" s="175">
        <f>'Wahilul Syahid Rido'!G$21</f>
        <v>0</v>
      </c>
      <c r="X73" s="175">
        <f>'Wahilul Syahid Rido'!G$36</f>
        <v>0</v>
      </c>
      <c r="Y73" s="175">
        <f>'Wahilul Syahid Rido'!H$21</f>
        <v>0</v>
      </c>
      <c r="Z73" s="175">
        <f>'Wahilul Syahid Rido'!H$36</f>
        <v>0</v>
      </c>
      <c r="AA73" s="175">
        <f>'Wahilul Syahid Rido'!I$21</f>
        <v>0</v>
      </c>
      <c r="AB73" s="175">
        <f>'Wahilul Syahid Rido'!I$36</f>
        <v>0</v>
      </c>
      <c r="AC73" s="175">
        <f>'Wahilul Syahid Rido'!J$21</f>
        <v>0</v>
      </c>
      <c r="AD73" s="175">
        <f>'Wahilul Syahid Rido'!J$36</f>
        <v>0</v>
      </c>
      <c r="AE73" s="175">
        <f>'Wahilul Syahid Rido'!K$21</f>
        <v>0</v>
      </c>
      <c r="AF73" s="175">
        <f>'Wahilul Syahid Rido'!K$36</f>
        <v>0</v>
      </c>
      <c r="AG73" s="175">
        <f>'Wahilul Syahid Rido'!L$21</f>
        <v>0</v>
      </c>
      <c r="AH73" s="175">
        <f>'Wahilul Syahid Rido'!L$36</f>
        <v>0</v>
      </c>
      <c r="AI73" s="175">
        <f>'Wahilul Syahid Rido'!M$21</f>
        <v>0</v>
      </c>
      <c r="AJ73" s="175">
        <f>'Wahilul Syahid Rido'!M$36</f>
        <v>0</v>
      </c>
      <c r="AK73" s="175">
        <f>'Wahilul Syahid Rido'!N$21</f>
        <v>818182</v>
      </c>
      <c r="AL73" s="175">
        <f>'Wahilul Syahid Rido'!N$36</f>
        <v>0</v>
      </c>
      <c r="AM73" s="187"/>
    </row>
    <row r="74" spans="1:39" x14ac:dyDescent="0.2">
      <c r="A74" s="197">
        <v>68</v>
      </c>
      <c r="B74" s="198" t="s">
        <v>522</v>
      </c>
      <c r="C74" s="198"/>
      <c r="D74" s="178" t="s">
        <v>583</v>
      </c>
      <c r="E74" s="152" t="s">
        <v>529</v>
      </c>
      <c r="F74" s="211" t="s">
        <v>148</v>
      </c>
      <c r="G74" s="197" t="s">
        <v>64</v>
      </c>
      <c r="H74" s="214"/>
      <c r="I74" s="197"/>
      <c r="J74" s="212"/>
      <c r="K74" s="212"/>
      <c r="L74" s="197"/>
      <c r="M74" s="175">
        <f>'Ahmad Saiful Anwar'!C$17</f>
        <v>0</v>
      </c>
      <c r="N74" s="175">
        <f>'Ahmad Saiful Anwar'!C$32</f>
        <v>0</v>
      </c>
      <c r="O74" s="175">
        <f>'Ahmad Saiful Anwar'!D$17</f>
        <v>0</v>
      </c>
      <c r="P74" s="175">
        <f>'Ahmad Saiful Anwar'!D$32</f>
        <v>0</v>
      </c>
      <c r="Q74" s="175">
        <f>'Ahmad Saiful Anwar'!E$17</f>
        <v>0</v>
      </c>
      <c r="R74" s="175">
        <f>'Ahmad Saiful Anwar'!E$32</f>
        <v>0</v>
      </c>
      <c r="S74" s="175">
        <f>'Ahmad Saiful Anwar'!F$17</f>
        <v>0</v>
      </c>
      <c r="T74" s="175">
        <f>'Ahmad Saiful Anwar'!F$32</f>
        <v>0</v>
      </c>
      <c r="U74" s="175">
        <f>'Ahmad Saiful Anwar'!P$16</f>
        <v>0</v>
      </c>
      <c r="V74" s="175">
        <f>'Ahmad Saiful Anwar'!P$33</f>
        <v>0</v>
      </c>
      <c r="W74" s="175">
        <f>'Ahmad Saiful Anwar'!G$17</f>
        <v>0</v>
      </c>
      <c r="X74" s="175">
        <f>'Ahmad Saiful Anwar'!G$32</f>
        <v>0</v>
      </c>
      <c r="Y74" s="175">
        <f>'Ahmad Saiful Anwar'!H$17</f>
        <v>0</v>
      </c>
      <c r="Z74" s="175">
        <f>'Ahmad Saiful Anwar'!H$32</f>
        <v>0</v>
      </c>
      <c r="AA74" s="175">
        <f>'Ahmad Saiful Anwar'!I$17</f>
        <v>0</v>
      </c>
      <c r="AB74" s="175">
        <f>'Ahmad Saiful Anwar'!I$32</f>
        <v>0</v>
      </c>
      <c r="AC74" s="175">
        <f>'Ahmad Saiful Anwar'!J$17</f>
        <v>0</v>
      </c>
      <c r="AD74" s="175">
        <f>'Ahmad Saiful Anwar'!J$32</f>
        <v>0</v>
      </c>
      <c r="AE74" s="175">
        <f>'Ahmad Saiful Anwar'!K$17</f>
        <v>0</v>
      </c>
      <c r="AF74" s="175">
        <f>'Ahmad Saiful Anwar'!K$32</f>
        <v>0</v>
      </c>
      <c r="AG74" s="175">
        <f>'Ahmad Saiful Anwar'!L$17</f>
        <v>0</v>
      </c>
      <c r="AH74" s="175">
        <f>'Ahmad Saiful Anwar'!L$32</f>
        <v>0</v>
      </c>
      <c r="AI74" s="175">
        <f>'Ahmad Saiful Anwar'!M$17</f>
        <v>0</v>
      </c>
      <c r="AJ74" s="175">
        <f>'Ahmad Saiful Anwar'!M$32</f>
        <v>0</v>
      </c>
      <c r="AK74" s="175">
        <f>'Ahmad Saiful Anwar'!N$17</f>
        <v>0</v>
      </c>
      <c r="AL74" s="175">
        <f>'Ahmad Saiful Anwar'!N$32</f>
        <v>0</v>
      </c>
      <c r="AM74" s="187"/>
    </row>
    <row r="75" spans="1:39" x14ac:dyDescent="0.2">
      <c r="A75" s="197">
        <v>69</v>
      </c>
      <c r="B75" s="198" t="s">
        <v>522</v>
      </c>
      <c r="C75" s="198"/>
      <c r="D75" s="178" t="s">
        <v>584</v>
      </c>
      <c r="E75" s="152" t="s">
        <v>529</v>
      </c>
      <c r="F75" s="211" t="s">
        <v>148</v>
      </c>
      <c r="G75" s="197" t="s">
        <v>64</v>
      </c>
      <c r="H75" s="214"/>
      <c r="I75" s="197"/>
      <c r="J75" s="212"/>
      <c r="K75" s="212"/>
      <c r="L75" s="197"/>
      <c r="M75" s="175">
        <f>'Rifky Hendrawan'!C$17</f>
        <v>0</v>
      </c>
      <c r="N75" s="175">
        <f>'Rifky Hendrawan'!C$32</f>
        <v>0</v>
      </c>
      <c r="O75" s="175">
        <f>'Rifky Hendrawan'!D$17</f>
        <v>0</v>
      </c>
      <c r="P75" s="175">
        <f>'Rifky Hendrawan'!D$32</f>
        <v>0</v>
      </c>
      <c r="Q75" s="175">
        <f>'Rifky Hendrawan'!E$17</f>
        <v>0</v>
      </c>
      <c r="R75" s="175">
        <f>'Rifky Hendrawan'!E$32</f>
        <v>0</v>
      </c>
      <c r="S75" s="175">
        <f>'Rifky Hendrawan'!F$17</f>
        <v>0</v>
      </c>
      <c r="T75" s="175">
        <f>'Rifky Hendrawan'!F$32</f>
        <v>0</v>
      </c>
      <c r="U75" s="175">
        <f>'Rifky Hendrawan'!P$16</f>
        <v>0</v>
      </c>
      <c r="V75" s="175">
        <f>'Rifky Hendrawan'!P$33</f>
        <v>0</v>
      </c>
      <c r="W75" s="175">
        <f>'Rifky Hendrawan'!G$17</f>
        <v>0</v>
      </c>
      <c r="X75" s="175">
        <f>'Rifky Hendrawan'!G$32</f>
        <v>0</v>
      </c>
      <c r="Y75" s="175">
        <f>'Rifky Hendrawan'!H$17</f>
        <v>0</v>
      </c>
      <c r="Z75" s="175">
        <f>'Rifky Hendrawan'!H$32</f>
        <v>0</v>
      </c>
      <c r="AA75" s="175">
        <f>'Rifky Hendrawan'!I$17</f>
        <v>0</v>
      </c>
      <c r="AB75" s="175">
        <f>'Rifky Hendrawan'!I$32</f>
        <v>0</v>
      </c>
      <c r="AC75" s="175">
        <f>'Rifky Hendrawan'!J$17</f>
        <v>0</v>
      </c>
      <c r="AD75" s="175">
        <f>'Rifky Hendrawan'!J$32</f>
        <v>0</v>
      </c>
      <c r="AE75" s="175">
        <f>'Rifky Hendrawan'!K$17</f>
        <v>0</v>
      </c>
      <c r="AF75" s="175">
        <f>'Rifky Hendrawan'!K$32</f>
        <v>0</v>
      </c>
      <c r="AG75" s="175">
        <f>'Rifky Hendrawan'!L$17</f>
        <v>0</v>
      </c>
      <c r="AH75" s="175">
        <f>'Rifky Hendrawan'!L$32</f>
        <v>0</v>
      </c>
      <c r="AI75" s="175">
        <f>'Rifky Hendrawan'!M$17</f>
        <v>0</v>
      </c>
      <c r="AJ75" s="175">
        <f>'Rifky Hendrawan'!M$32</f>
        <v>0</v>
      </c>
      <c r="AK75" s="175">
        <f>'Rifky Hendrawan'!N$17</f>
        <v>0</v>
      </c>
      <c r="AL75" s="175">
        <f>'Rifky Hendrawan'!N$32</f>
        <v>0</v>
      </c>
      <c r="AM75" s="187"/>
    </row>
    <row r="76" spans="1:39" x14ac:dyDescent="0.2">
      <c r="A76" s="197">
        <v>70</v>
      </c>
      <c r="B76" s="198" t="s">
        <v>522</v>
      </c>
      <c r="C76" s="198"/>
      <c r="D76" s="178" t="s">
        <v>691</v>
      </c>
      <c r="E76" s="152" t="s">
        <v>529</v>
      </c>
      <c r="F76" s="211" t="s">
        <v>148</v>
      </c>
      <c r="G76" s="197" t="s">
        <v>64</v>
      </c>
      <c r="H76" s="214"/>
      <c r="I76" s="197"/>
      <c r="J76" s="212"/>
      <c r="K76" s="212"/>
      <c r="L76" s="197"/>
      <c r="M76" s="175">
        <f>'Muhammad Syafei'!C$21</f>
        <v>0</v>
      </c>
      <c r="N76" s="175">
        <f>'Muhammad Syafei'!C$36</f>
        <v>0</v>
      </c>
      <c r="O76" s="175">
        <f>'Muhammad Syafei'!D$21</f>
        <v>0</v>
      </c>
      <c r="P76" s="175">
        <f>'Muhammad Syafei'!D$36</f>
        <v>0</v>
      </c>
      <c r="Q76" s="175">
        <f>'Muhammad Syafei'!E$21</f>
        <v>0</v>
      </c>
      <c r="R76" s="175">
        <f>'Muhammad Syafei'!E$36</f>
        <v>0</v>
      </c>
      <c r="S76" s="175">
        <f>'Muhammad Syafei'!F$21</f>
        <v>0</v>
      </c>
      <c r="T76" s="175">
        <f>'Muhammad Syafei'!F$36</f>
        <v>0</v>
      </c>
      <c r="U76" s="175">
        <f>'Muhammad Syafei'!P$20</f>
        <v>0</v>
      </c>
      <c r="V76" s="175">
        <f>'Muhammad Syafei'!P$37</f>
        <v>0</v>
      </c>
      <c r="W76" s="175">
        <f>'Muhammad Syafei'!G$21</f>
        <v>0</v>
      </c>
      <c r="X76" s="175">
        <f>'Muhammad Syafei'!G$36</f>
        <v>0</v>
      </c>
      <c r="Y76" s="175">
        <f>'Muhammad Syafei'!H$21</f>
        <v>0</v>
      </c>
      <c r="Z76" s="175">
        <f>'Muhammad Syafei'!H$36</f>
        <v>0</v>
      </c>
      <c r="AA76" s="175">
        <f>'Muhammad Syafei'!I$21</f>
        <v>0</v>
      </c>
      <c r="AB76" s="175">
        <f>'Muhammad Syafei'!I$36</f>
        <v>0</v>
      </c>
      <c r="AC76" s="175">
        <f>'Muhammad Syafei'!J$21</f>
        <v>0</v>
      </c>
      <c r="AD76" s="175">
        <f>'Muhammad Syafei'!J$36</f>
        <v>0</v>
      </c>
      <c r="AE76" s="175">
        <f>'Muhammad Syafei'!K$21</f>
        <v>820000</v>
      </c>
      <c r="AF76" s="175">
        <f>'Muhammad Syafei'!K$36</f>
        <v>0</v>
      </c>
      <c r="AG76" s="175">
        <f>'Muhammad Syafei'!L$21</f>
        <v>820000</v>
      </c>
      <c r="AH76" s="175">
        <f>'Muhammad Syafei'!L$36</f>
        <v>0</v>
      </c>
      <c r="AI76" s="175">
        <f>'Muhammad Syafei'!M$21</f>
        <v>1500000</v>
      </c>
      <c r="AJ76" s="175">
        <f>'Muhammad Syafei'!M$36</f>
        <v>0</v>
      </c>
      <c r="AK76" s="175">
        <f>'Muhammad Syafei'!N$21</f>
        <v>1500000</v>
      </c>
      <c r="AL76" s="175">
        <f>'Muhammad Syafei'!N$36</f>
        <v>0</v>
      </c>
      <c r="AM76" s="187"/>
    </row>
    <row r="77" spans="1:39" x14ac:dyDescent="0.2">
      <c r="A77" s="197">
        <v>71</v>
      </c>
      <c r="B77" s="198" t="s">
        <v>522</v>
      </c>
      <c r="C77" s="198"/>
      <c r="D77" s="178" t="s">
        <v>585</v>
      </c>
      <c r="E77" s="152" t="s">
        <v>529</v>
      </c>
      <c r="F77" s="211" t="s">
        <v>148</v>
      </c>
      <c r="G77" s="197" t="s">
        <v>64</v>
      </c>
      <c r="H77" s="214"/>
      <c r="I77" s="197"/>
      <c r="J77" s="212"/>
      <c r="K77" s="212"/>
      <c r="L77" s="197"/>
      <c r="M77" s="175">
        <f>'Bagas Bintang Dwicahyo W'!C$21</f>
        <v>2000000</v>
      </c>
      <c r="N77" s="175">
        <f>'Bagas Bintang Dwicahyo W'!C$36</f>
        <v>0</v>
      </c>
      <c r="O77" s="175">
        <f>'Bagas Bintang Dwicahyo W'!D$21</f>
        <v>0</v>
      </c>
      <c r="P77" s="175">
        <f>'Bagas Bintang Dwicahyo W'!D$36</f>
        <v>0</v>
      </c>
      <c r="Q77" s="175">
        <f>'Bagas Bintang Dwicahyo W'!E$21</f>
        <v>0</v>
      </c>
      <c r="R77" s="175">
        <f>'Bagas Bintang Dwicahyo W'!E$36</f>
        <v>0</v>
      </c>
      <c r="S77" s="175">
        <f>'Bagas Bintang Dwicahyo W'!F$21</f>
        <v>0</v>
      </c>
      <c r="T77" s="175">
        <f>'Bagas Bintang Dwicahyo W'!F$36</f>
        <v>0</v>
      </c>
      <c r="U77" s="175">
        <f>'Bagas Bintang Dwicahyo W'!P$20</f>
        <v>0</v>
      </c>
      <c r="V77" s="175">
        <f>'Bagas Bintang Dwicahyo W'!P$37</f>
        <v>0</v>
      </c>
      <c r="W77" s="175">
        <f>'Bagas Bintang Dwicahyo W'!G$21</f>
        <v>0</v>
      </c>
      <c r="X77" s="175">
        <f>'Bagas Bintang Dwicahyo W'!G$36</f>
        <v>0</v>
      </c>
      <c r="Y77" s="175">
        <f>'Bagas Bintang Dwicahyo W'!H$21</f>
        <v>0</v>
      </c>
      <c r="Z77" s="175">
        <f>'Bagas Bintang Dwicahyo W'!H$36</f>
        <v>0</v>
      </c>
      <c r="AA77" s="175">
        <f>'Bagas Bintang Dwicahyo W'!I$21</f>
        <v>0</v>
      </c>
      <c r="AB77" s="175">
        <f>'Bagas Bintang Dwicahyo W'!I$36</f>
        <v>0</v>
      </c>
      <c r="AC77" s="175">
        <f>'Bagas Bintang Dwicahyo W'!J$21</f>
        <v>0</v>
      </c>
      <c r="AD77" s="175">
        <f>'Bagas Bintang Dwicahyo W'!J$36</f>
        <v>0</v>
      </c>
      <c r="AE77" s="175">
        <f>'Bagas Bintang Dwicahyo W'!K$21</f>
        <v>0</v>
      </c>
      <c r="AF77" s="175">
        <f>'Bagas Bintang Dwicahyo W'!K$36</f>
        <v>0</v>
      </c>
      <c r="AG77" s="175">
        <f>'Bagas Bintang Dwicahyo W'!L$21</f>
        <v>0</v>
      </c>
      <c r="AH77" s="175">
        <f>'Bagas Bintang Dwicahyo W'!L$36</f>
        <v>0</v>
      </c>
      <c r="AI77" s="175">
        <f>'Bagas Bintang Dwicahyo W'!M$21</f>
        <v>0</v>
      </c>
      <c r="AJ77" s="175">
        <f>'Bagas Bintang Dwicahyo W'!M$36</f>
        <v>0</v>
      </c>
      <c r="AK77" s="175">
        <f>'Bagas Bintang Dwicahyo W'!N$21</f>
        <v>0</v>
      </c>
      <c r="AL77" s="175">
        <f>'Bagas Bintang Dwicahyo W'!N$36</f>
        <v>0</v>
      </c>
      <c r="AM77" s="187"/>
    </row>
    <row r="78" spans="1:39" x14ac:dyDescent="0.2">
      <c r="A78" s="197">
        <v>72</v>
      </c>
      <c r="B78" s="198" t="s">
        <v>522</v>
      </c>
      <c r="C78" s="198"/>
      <c r="D78" s="178" t="s">
        <v>599</v>
      </c>
      <c r="E78" s="152" t="s">
        <v>529</v>
      </c>
      <c r="F78" s="211" t="s">
        <v>116</v>
      </c>
      <c r="G78" s="197" t="s">
        <v>67</v>
      </c>
      <c r="H78" s="214"/>
      <c r="I78" s="197"/>
      <c r="J78" s="212"/>
      <c r="K78" s="212"/>
      <c r="L78" s="197"/>
      <c r="M78" s="175">
        <f>'Rista Hutammy Tularbi'!C$21</f>
        <v>2000000</v>
      </c>
      <c r="N78" s="175">
        <f>'Rista Hutammy Tularbi'!C$36</f>
        <v>0</v>
      </c>
      <c r="O78" s="175">
        <f>'Rista Hutammy Tularbi'!D$21</f>
        <v>2000000</v>
      </c>
      <c r="P78" s="175">
        <f>'Rista Hutammy Tularbi'!D$36</f>
        <v>0</v>
      </c>
      <c r="Q78" s="175">
        <f>'Rista Hutammy Tularbi'!E$21</f>
        <v>2000000</v>
      </c>
      <c r="R78" s="175">
        <f>'Rista Hutammy Tularbi'!E$36</f>
        <v>0</v>
      </c>
      <c r="S78" s="175">
        <f>'Rista Hutammy Tularbi'!F$21</f>
        <v>2000000</v>
      </c>
      <c r="T78" s="175">
        <f>'Rista Hutammy Tularbi'!F$36</f>
        <v>0</v>
      </c>
      <c r="U78" s="175">
        <f>'Rista Hutammy Tularbi'!P$20</f>
        <v>2000000</v>
      </c>
      <c r="V78" s="175">
        <f>'Rista Hutammy Tularbi'!P$37</f>
        <v>0</v>
      </c>
      <c r="W78" s="175">
        <f>'Rista Hutammy Tularbi'!G$21</f>
        <v>2000000</v>
      </c>
      <c r="X78" s="175">
        <f>'Rista Hutammy Tularbi'!G$36</f>
        <v>0</v>
      </c>
      <c r="Y78" s="175">
        <f>'Rista Hutammy Tularbi'!H$21</f>
        <v>2150000</v>
      </c>
      <c r="Z78" s="175">
        <f>'Rista Hutammy Tularbi'!H$36</f>
        <v>0</v>
      </c>
      <c r="AA78" s="175">
        <f>'Rista Hutammy Tularbi'!I$21</f>
        <v>2000000</v>
      </c>
      <c r="AB78" s="175">
        <f>'Rista Hutammy Tularbi'!I$36</f>
        <v>0</v>
      </c>
      <c r="AC78" s="175">
        <f>'Rista Hutammy Tularbi'!J$21</f>
        <v>2100000</v>
      </c>
      <c r="AD78" s="175">
        <f>'Rista Hutammy Tularbi'!J$36</f>
        <v>0</v>
      </c>
      <c r="AE78" s="175">
        <f>'Rista Hutammy Tularbi'!K$21</f>
        <v>0</v>
      </c>
      <c r="AF78" s="175">
        <f>'Rista Hutammy Tularbi'!K$36</f>
        <v>0</v>
      </c>
      <c r="AG78" s="175">
        <f>'Rista Hutammy Tularbi'!L$21</f>
        <v>0</v>
      </c>
      <c r="AH78" s="175">
        <f>'Rista Hutammy Tularbi'!L$36</f>
        <v>0</v>
      </c>
      <c r="AI78" s="175">
        <f>'Rista Hutammy Tularbi'!M$21</f>
        <v>0</v>
      </c>
      <c r="AJ78" s="175">
        <f>'Rista Hutammy Tularbi'!M$36</f>
        <v>0</v>
      </c>
      <c r="AK78" s="175">
        <f>'Rista Hutammy Tularbi'!N$21</f>
        <v>0</v>
      </c>
      <c r="AL78" s="175">
        <f>'Rista Hutammy Tularbi'!N$36</f>
        <v>0</v>
      </c>
      <c r="AM78" s="187"/>
    </row>
    <row r="79" spans="1:39" x14ac:dyDescent="0.2">
      <c r="A79" s="197">
        <v>73</v>
      </c>
      <c r="B79" s="198" t="s">
        <v>522</v>
      </c>
      <c r="C79" s="198"/>
      <c r="D79" s="178" t="s">
        <v>587</v>
      </c>
      <c r="E79" s="152" t="s">
        <v>529</v>
      </c>
      <c r="F79" s="211" t="s">
        <v>116</v>
      </c>
      <c r="G79" s="197" t="s">
        <v>67</v>
      </c>
      <c r="H79" s="214"/>
      <c r="I79" s="197"/>
      <c r="J79" s="212"/>
      <c r="K79" s="212"/>
      <c r="L79" s="197"/>
      <c r="M79" s="175">
        <f>'Septi Farania'!C$21</f>
        <v>2000000</v>
      </c>
      <c r="N79" s="175">
        <f>'Septi Farania'!C$36</f>
        <v>0</v>
      </c>
      <c r="O79" s="175">
        <f>'Septi Farania'!D$21</f>
        <v>2000000</v>
      </c>
      <c r="P79" s="175">
        <f>'Septi Farania'!D$36</f>
        <v>0</v>
      </c>
      <c r="Q79" s="175">
        <f>'Septi Farania'!E$21</f>
        <v>0</v>
      </c>
      <c r="R79" s="175">
        <f>'Septi Farania'!E$36</f>
        <v>0</v>
      </c>
      <c r="S79" s="175">
        <f>'Septi Farania'!F$21</f>
        <v>0</v>
      </c>
      <c r="T79" s="175">
        <f>'Septi Farania'!F$36</f>
        <v>0</v>
      </c>
      <c r="U79" s="175">
        <f>'Septi Farania'!P$20</f>
        <v>0</v>
      </c>
      <c r="V79" s="175">
        <f>'Septi Farania'!P$37</f>
        <v>0</v>
      </c>
      <c r="W79" s="175">
        <f>'Septi Farania'!G$21</f>
        <v>0</v>
      </c>
      <c r="X79" s="175">
        <f>'Septi Farania'!G$36</f>
        <v>0</v>
      </c>
      <c r="Y79" s="175">
        <f>'Septi Farania'!H$21</f>
        <v>0</v>
      </c>
      <c r="Z79" s="175">
        <f>'Septi Farania'!H$36</f>
        <v>0</v>
      </c>
      <c r="AA79" s="175">
        <f>'Septi Farania'!I$21</f>
        <v>0</v>
      </c>
      <c r="AB79" s="175">
        <f>'Septi Farania'!I$36</f>
        <v>0</v>
      </c>
      <c r="AC79" s="175">
        <f>'Septi Farania'!J$21</f>
        <v>0</v>
      </c>
      <c r="AD79" s="175">
        <f>'Septi Farania'!J$36</f>
        <v>0</v>
      </c>
      <c r="AE79" s="175">
        <f>'Septi Farania'!K$21</f>
        <v>0</v>
      </c>
      <c r="AF79" s="175">
        <f>'Septi Farania'!K$36</f>
        <v>0</v>
      </c>
      <c r="AG79" s="175">
        <f>'Septi Farania'!L$21</f>
        <v>0</v>
      </c>
      <c r="AH79" s="175">
        <f>'Septi Farania'!L$36</f>
        <v>0</v>
      </c>
      <c r="AI79" s="175">
        <f>'Septi Farania'!M$21</f>
        <v>0</v>
      </c>
      <c r="AJ79" s="175">
        <f>'Septi Farania'!M$36</f>
        <v>0</v>
      </c>
      <c r="AK79" s="175">
        <f>'Septi Farania'!N$21</f>
        <v>0</v>
      </c>
      <c r="AL79" s="175">
        <f>'Septi Farania'!N$36</f>
        <v>0</v>
      </c>
      <c r="AM79" s="187"/>
    </row>
    <row r="80" spans="1:39" x14ac:dyDescent="0.2">
      <c r="A80" s="197">
        <v>74</v>
      </c>
      <c r="B80" s="198" t="s">
        <v>522</v>
      </c>
      <c r="C80" s="198"/>
      <c r="D80" s="178" t="s">
        <v>588</v>
      </c>
      <c r="E80" s="152" t="s">
        <v>529</v>
      </c>
      <c r="F80" s="211" t="s">
        <v>148</v>
      </c>
      <c r="G80" s="197" t="s">
        <v>64</v>
      </c>
      <c r="H80" s="214"/>
      <c r="I80" s="197"/>
      <c r="J80" s="212"/>
      <c r="K80" s="212"/>
      <c r="L80" s="197"/>
      <c r="M80" s="175">
        <f>'Septian Ardiansyah'!C$21</f>
        <v>1500000</v>
      </c>
      <c r="N80" s="175">
        <f>'Septian Ardiansyah'!C$36</f>
        <v>0</v>
      </c>
      <c r="O80" s="175">
        <f>'Septian Ardiansyah'!D$21</f>
        <v>1500000</v>
      </c>
      <c r="P80" s="175">
        <f>'Septian Ardiansyah'!D$36</f>
        <v>0</v>
      </c>
      <c r="Q80" s="175">
        <f>'Septian Ardiansyah'!E$21</f>
        <v>1500000</v>
      </c>
      <c r="R80" s="175">
        <f>'Septian Ardiansyah'!E$36</f>
        <v>0</v>
      </c>
      <c r="S80" s="175">
        <f>'Septian Ardiansyah'!F$21</f>
        <v>1500000</v>
      </c>
      <c r="T80" s="175">
        <f>'Septian Ardiansyah'!F$36</f>
        <v>0</v>
      </c>
      <c r="U80" s="175">
        <f>'Septian Ardiansyah'!P$20</f>
        <v>1000000</v>
      </c>
      <c r="V80" s="175">
        <f>'Septian Ardiansyah'!P$37</f>
        <v>0</v>
      </c>
      <c r="W80" s="175">
        <f>'Septian Ardiansyah'!G$21</f>
        <v>1500000</v>
      </c>
      <c r="X80" s="175">
        <f>'Septian Ardiansyah'!G$36</f>
        <v>0</v>
      </c>
      <c r="Y80" s="175">
        <f>'Septian Ardiansyah'!H$21</f>
        <v>1500000</v>
      </c>
      <c r="Z80" s="175">
        <f>'Septian Ardiansyah'!H$36</f>
        <v>0</v>
      </c>
      <c r="AA80" s="175">
        <f>'Septian Ardiansyah'!I$21</f>
        <v>1500000</v>
      </c>
      <c r="AB80" s="175">
        <f>'Septian Ardiansyah'!I$36</f>
        <v>0</v>
      </c>
      <c r="AC80" s="175">
        <f>'Septian Ardiansyah'!J$21</f>
        <v>1500000</v>
      </c>
      <c r="AD80" s="175">
        <f>'Septian Ardiansyah'!J$36</f>
        <v>0</v>
      </c>
      <c r="AE80" s="175">
        <f>'Septian Ardiansyah'!K$21</f>
        <v>2000000</v>
      </c>
      <c r="AF80" s="175">
        <f>'Septian Ardiansyah'!K$36</f>
        <v>0</v>
      </c>
      <c r="AG80" s="175">
        <f>'Septian Ardiansyah'!L$21</f>
        <v>2000000</v>
      </c>
      <c r="AH80" s="175">
        <f>'Septian Ardiansyah'!L$36</f>
        <v>0</v>
      </c>
      <c r="AI80" s="175">
        <f>'Septian Ardiansyah'!M$21</f>
        <v>2000000</v>
      </c>
      <c r="AJ80" s="175">
        <f>'Septian Ardiansyah'!M$36</f>
        <v>0</v>
      </c>
      <c r="AK80" s="175">
        <f>'Septian Ardiansyah'!N$21</f>
        <v>2000000</v>
      </c>
      <c r="AL80" s="175">
        <f>'Septian Ardiansyah'!N$36</f>
        <v>0</v>
      </c>
      <c r="AM80" s="187"/>
    </row>
    <row r="81" spans="1:39" x14ac:dyDescent="0.2">
      <c r="A81" s="197">
        <v>75</v>
      </c>
      <c r="B81" s="198" t="s">
        <v>522</v>
      </c>
      <c r="C81" s="198"/>
      <c r="D81" s="178" t="s">
        <v>589</v>
      </c>
      <c r="E81" s="152" t="s">
        <v>529</v>
      </c>
      <c r="F81" s="211" t="s">
        <v>148</v>
      </c>
      <c r="G81" s="197" t="s">
        <v>64</v>
      </c>
      <c r="H81" s="214"/>
      <c r="I81" s="197"/>
      <c r="J81" s="212"/>
      <c r="K81" s="212"/>
      <c r="L81" s="197"/>
      <c r="M81" s="175">
        <f>'Farhandhika Nurrizki'!C$21</f>
        <v>2000000</v>
      </c>
      <c r="N81" s="175">
        <f>'Farhandhika Nurrizki'!C$36</f>
        <v>0</v>
      </c>
      <c r="O81" s="175">
        <f>'Farhandhika Nurrizki'!D$21</f>
        <v>2000000</v>
      </c>
      <c r="P81" s="175">
        <f>'Farhandhika Nurrizki'!D$36</f>
        <v>0</v>
      </c>
      <c r="Q81" s="175">
        <f>'Farhandhika Nurrizki'!E$21</f>
        <v>2000000</v>
      </c>
      <c r="R81" s="175">
        <f>'Farhandhika Nurrizki'!E$36</f>
        <v>0</v>
      </c>
      <c r="S81" s="175">
        <f>'Farhandhika Nurrizki'!F$21</f>
        <v>2000000</v>
      </c>
      <c r="T81" s="175">
        <f>'Farhandhika Nurrizki'!F$36</f>
        <v>0</v>
      </c>
      <c r="U81" s="175">
        <f>'Farhandhika Nurrizki'!P$20</f>
        <v>1000000</v>
      </c>
      <c r="V81" s="175">
        <f>'Farhandhika Nurrizki'!P$37</f>
        <v>0</v>
      </c>
      <c r="W81" s="175">
        <f>'Farhandhika Nurrizki'!G$21</f>
        <v>2000000</v>
      </c>
      <c r="X81" s="175">
        <f>'Farhandhika Nurrizki'!G$36</f>
        <v>0</v>
      </c>
      <c r="Y81" s="175">
        <f>'Farhandhika Nurrizki'!H$21</f>
        <v>2050000</v>
      </c>
      <c r="Z81" s="175">
        <f>'Farhandhika Nurrizki'!H$36</f>
        <v>0</v>
      </c>
      <c r="AA81" s="175">
        <f>'Farhandhika Nurrizki'!I$21</f>
        <v>2050000</v>
      </c>
      <c r="AB81" s="175">
        <f>'Farhandhika Nurrizki'!I$36</f>
        <v>0</v>
      </c>
      <c r="AC81" s="175">
        <f>'Farhandhika Nurrizki'!J$21</f>
        <v>2100000</v>
      </c>
      <c r="AD81" s="175">
        <f>'Farhandhika Nurrizki'!J$36</f>
        <v>0</v>
      </c>
      <c r="AE81" s="175">
        <f>'Farhandhika Nurrizki'!K$21</f>
        <v>3600000</v>
      </c>
      <c r="AF81" s="175">
        <f>'Farhandhika Nurrizki'!K$36</f>
        <v>0</v>
      </c>
      <c r="AG81" s="175">
        <f>'Farhandhika Nurrizki'!L$21</f>
        <v>3600000</v>
      </c>
      <c r="AH81" s="175">
        <f>'Farhandhika Nurrizki'!L$36</f>
        <v>0</v>
      </c>
      <c r="AI81" s="175">
        <f>'Farhandhika Nurrizki'!M$21</f>
        <v>3550000</v>
      </c>
      <c r="AJ81" s="175">
        <f>'Farhandhika Nurrizki'!M$36</f>
        <v>0</v>
      </c>
      <c r="AK81" s="175">
        <f>'Farhandhika Nurrizki'!N$21</f>
        <v>3550000</v>
      </c>
      <c r="AL81" s="175">
        <f>'Farhandhika Nurrizki'!N$36</f>
        <v>0</v>
      </c>
      <c r="AM81" s="187"/>
    </row>
    <row r="82" spans="1:39" x14ac:dyDescent="0.2">
      <c r="A82" s="197">
        <v>76</v>
      </c>
      <c r="B82" s="198" t="s">
        <v>522</v>
      </c>
      <c r="C82" s="198"/>
      <c r="D82" s="178" t="s">
        <v>590</v>
      </c>
      <c r="E82" s="152" t="s">
        <v>529</v>
      </c>
      <c r="F82" s="211" t="s">
        <v>148</v>
      </c>
      <c r="G82" s="197" t="s">
        <v>64</v>
      </c>
      <c r="H82" s="214"/>
      <c r="I82" s="197"/>
      <c r="J82" s="212"/>
      <c r="K82" s="212"/>
      <c r="L82" s="197"/>
      <c r="M82" s="175">
        <f>'Lukmanul Hakim'!C$21</f>
        <v>2000000</v>
      </c>
      <c r="N82" s="175">
        <f>'Lukmanul Hakim'!C$36</f>
        <v>0</v>
      </c>
      <c r="O82" s="175">
        <f>'Lukmanul Hakim'!D$21</f>
        <v>2000000</v>
      </c>
      <c r="P82" s="175">
        <f>'Lukmanul Hakim'!D$36</f>
        <v>0</v>
      </c>
      <c r="Q82" s="175">
        <f>'Lukmanul Hakim'!E$21</f>
        <v>2000000</v>
      </c>
      <c r="R82" s="175">
        <f>'Lukmanul Hakim'!E$36</f>
        <v>0</v>
      </c>
      <c r="S82" s="175">
        <f>'Lukmanul Hakim'!F$21</f>
        <v>2000000</v>
      </c>
      <c r="T82" s="175">
        <f>'Lukmanul Hakim'!F$36</f>
        <v>0</v>
      </c>
      <c r="U82" s="175">
        <f>'Lukmanul Hakim'!P$20</f>
        <v>2000000</v>
      </c>
      <c r="V82" s="175">
        <f>'Lukmanul Hakim'!P$37</f>
        <v>0</v>
      </c>
      <c r="W82" s="175">
        <f>'Lukmanul Hakim'!G$21</f>
        <v>2000000</v>
      </c>
      <c r="X82" s="175">
        <f>'Lukmanul Hakim'!G$36</f>
        <v>0</v>
      </c>
      <c r="Y82" s="175">
        <f>'Lukmanul Hakim'!H$21</f>
        <v>0</v>
      </c>
      <c r="Z82" s="175">
        <f>'Lukmanul Hakim'!H$36</f>
        <v>0</v>
      </c>
      <c r="AA82" s="175">
        <f>'Lukmanul Hakim'!I$21</f>
        <v>0</v>
      </c>
      <c r="AB82" s="175">
        <f>'Lukmanul Hakim'!I$36</f>
        <v>0</v>
      </c>
      <c r="AC82" s="175">
        <f>'Lukmanul Hakim'!J$21</f>
        <v>0</v>
      </c>
      <c r="AD82" s="175">
        <f>'Lukmanul Hakim'!J$36</f>
        <v>0</v>
      </c>
      <c r="AE82" s="175">
        <f>'Lukmanul Hakim'!K$21</f>
        <v>0</v>
      </c>
      <c r="AF82" s="175">
        <f>'Lukmanul Hakim'!K$36</f>
        <v>0</v>
      </c>
      <c r="AG82" s="175">
        <f>'Lukmanul Hakim'!L$21</f>
        <v>0</v>
      </c>
      <c r="AH82" s="175">
        <f>'Lukmanul Hakim'!L$36</f>
        <v>0</v>
      </c>
      <c r="AI82" s="175">
        <f>'Lukmanul Hakim'!M$21</f>
        <v>0</v>
      </c>
      <c r="AJ82" s="175">
        <f>'Lukmanul Hakim'!M$36</f>
        <v>0</v>
      </c>
      <c r="AK82" s="175">
        <f>'Lukmanul Hakim'!N$21</f>
        <v>0</v>
      </c>
      <c r="AL82" s="175">
        <f>'Lukmanul Hakim'!N$36</f>
        <v>0</v>
      </c>
      <c r="AM82" s="187"/>
    </row>
    <row r="83" spans="1:39" x14ac:dyDescent="0.2">
      <c r="A83" s="197">
        <v>77</v>
      </c>
      <c r="B83" s="198" t="s">
        <v>522</v>
      </c>
      <c r="C83" s="198"/>
      <c r="D83" s="178" t="s">
        <v>591</v>
      </c>
      <c r="E83" s="152" t="s">
        <v>529</v>
      </c>
      <c r="F83" s="211" t="s">
        <v>148</v>
      </c>
      <c r="G83" s="197" t="s">
        <v>64</v>
      </c>
      <c r="H83" s="214"/>
      <c r="I83" s="197"/>
      <c r="J83" s="212"/>
      <c r="K83" s="212"/>
      <c r="L83" s="197"/>
      <c r="M83" s="175">
        <f>'Umar Zaelani'!C$21</f>
        <v>1500000</v>
      </c>
      <c r="N83" s="175">
        <f>'Umar Zaelani'!C$36</f>
        <v>0</v>
      </c>
      <c r="O83" s="175">
        <f>'Umar Zaelani'!D$21</f>
        <v>1500000</v>
      </c>
      <c r="P83" s="175">
        <f>'Umar Zaelani'!D$36</f>
        <v>0</v>
      </c>
      <c r="Q83" s="175">
        <f>'Umar Zaelani'!E$21</f>
        <v>1500000</v>
      </c>
      <c r="R83" s="175">
        <f>'Umar Zaelani'!E$36</f>
        <v>0</v>
      </c>
      <c r="S83" s="175">
        <f>'Umar Zaelani'!F$21</f>
        <v>1500000</v>
      </c>
      <c r="T83" s="175">
        <f>'Umar Zaelani'!F$36</f>
        <v>0</v>
      </c>
      <c r="U83" s="175">
        <f>'Umar Zaelani'!P$20</f>
        <v>1000000</v>
      </c>
      <c r="V83" s="175">
        <f>'Umar Zaelani'!P$37</f>
        <v>0</v>
      </c>
      <c r="W83" s="175">
        <f>'Umar Zaelani'!G$21</f>
        <v>1500000</v>
      </c>
      <c r="X83" s="175">
        <f>'Umar Zaelani'!G$36</f>
        <v>0</v>
      </c>
      <c r="Y83" s="175">
        <f>'Umar Zaelani'!H$21</f>
        <v>1500000</v>
      </c>
      <c r="Z83" s="175">
        <f>'Umar Zaelani'!H$36</f>
        <v>0</v>
      </c>
      <c r="AA83" s="175">
        <f>'Umar Zaelani'!I$21</f>
        <v>1500000</v>
      </c>
      <c r="AB83" s="175">
        <f>'Umar Zaelani'!I$36</f>
        <v>0</v>
      </c>
      <c r="AC83" s="175">
        <f>'Umar Zaelani'!J$21</f>
        <v>0</v>
      </c>
      <c r="AD83" s="175">
        <f>'Umar Zaelani'!J$36</f>
        <v>0</v>
      </c>
      <c r="AE83" s="175">
        <f>'Umar Zaelani'!K$21</f>
        <v>0</v>
      </c>
      <c r="AF83" s="175">
        <f>'Umar Zaelani'!K$36</f>
        <v>0</v>
      </c>
      <c r="AG83" s="175">
        <f>'Umar Zaelani'!L$21</f>
        <v>0</v>
      </c>
      <c r="AH83" s="175">
        <f>'Umar Zaelani'!L$36</f>
        <v>0</v>
      </c>
      <c r="AI83" s="175">
        <f>'Umar Zaelani'!M$21</f>
        <v>0</v>
      </c>
      <c r="AJ83" s="175">
        <f>'Umar Zaelani'!M$36</f>
        <v>0</v>
      </c>
      <c r="AK83" s="175">
        <f>'Umar Zaelani'!N$21</f>
        <v>0</v>
      </c>
      <c r="AL83" s="175">
        <f>'Umar Zaelani'!N$36</f>
        <v>0</v>
      </c>
      <c r="AM83" s="187"/>
    </row>
    <row r="84" spans="1:39" x14ac:dyDescent="0.2">
      <c r="A84" s="197">
        <v>78</v>
      </c>
      <c r="B84" s="198" t="s">
        <v>522</v>
      </c>
      <c r="C84" s="198"/>
      <c r="D84" s="178" t="s">
        <v>600</v>
      </c>
      <c r="E84" s="152" t="s">
        <v>529</v>
      </c>
      <c r="F84" s="211" t="s">
        <v>116</v>
      </c>
      <c r="G84" s="197" t="s">
        <v>67</v>
      </c>
      <c r="H84" s="214"/>
      <c r="I84" s="197"/>
      <c r="J84" s="212"/>
      <c r="K84" s="212"/>
      <c r="L84" s="197"/>
      <c r="M84" s="175">
        <f>'FATMA LELY HARTATI'!C$17</f>
        <v>0</v>
      </c>
      <c r="N84" s="175">
        <f>'FATMA LELY HARTATI'!C$32</f>
        <v>0</v>
      </c>
      <c r="O84" s="175">
        <f>'FATMA LELY HARTATI'!D$17</f>
        <v>0</v>
      </c>
      <c r="P84" s="175">
        <f>'FATMA LELY HARTATI'!D$32</f>
        <v>0</v>
      </c>
      <c r="Q84" s="175">
        <f>'FATMA LELY HARTATI'!E$17</f>
        <v>0</v>
      </c>
      <c r="R84" s="175">
        <f>'FATMA LELY HARTATI'!E$32</f>
        <v>0</v>
      </c>
      <c r="S84" s="175">
        <f>'FATMA LELY HARTATI'!F$17</f>
        <v>0</v>
      </c>
      <c r="T84" s="175">
        <f>'FATMA LELY HARTATI'!F$32</f>
        <v>0</v>
      </c>
      <c r="U84" s="175">
        <f>'FATMA LELY HARTATI'!P$16</f>
        <v>0</v>
      </c>
      <c r="V84" s="175">
        <f>'FATMA LELY HARTATI'!P$33</f>
        <v>0</v>
      </c>
      <c r="W84" s="175">
        <f>'FATMA LELY HARTATI'!G$17</f>
        <v>0</v>
      </c>
      <c r="X84" s="175">
        <f>'FATMA LELY HARTATI'!G$32</f>
        <v>0</v>
      </c>
      <c r="Y84" s="175">
        <f>'FATMA LELY HARTATI'!H$17</f>
        <v>0</v>
      </c>
      <c r="Z84" s="175">
        <f>'FATMA LELY HARTATI'!H$32</f>
        <v>0</v>
      </c>
      <c r="AA84" s="175">
        <f>'FATMA LELY HARTATI'!I$17</f>
        <v>0</v>
      </c>
      <c r="AB84" s="175">
        <f>'FATMA LELY HARTATI'!I$32</f>
        <v>0</v>
      </c>
      <c r="AC84" s="175">
        <f>'FATMA LELY HARTATI'!J$17</f>
        <v>0</v>
      </c>
      <c r="AD84" s="175">
        <f>'FATMA LELY HARTATI'!J$32</f>
        <v>0</v>
      </c>
      <c r="AE84" s="175">
        <f>'FATMA LELY HARTATI'!K$17</f>
        <v>0</v>
      </c>
      <c r="AF84" s="175">
        <f>'FATMA LELY HARTATI'!K$32</f>
        <v>0</v>
      </c>
      <c r="AG84" s="175">
        <f>'FATMA LELY HARTATI'!L$17</f>
        <v>0</v>
      </c>
      <c r="AH84" s="175">
        <f>'FATMA LELY HARTATI'!L$32</f>
        <v>0</v>
      </c>
      <c r="AI84" s="175">
        <f>'FATMA LELY HARTATI'!M$17</f>
        <v>0</v>
      </c>
      <c r="AJ84" s="175">
        <f>'FATMA LELY HARTATI'!M$32</f>
        <v>0</v>
      </c>
      <c r="AK84" s="175">
        <f>'FATMA LELY HARTATI'!N$17</f>
        <v>0</v>
      </c>
      <c r="AL84" s="175">
        <f>'FATMA LELY HARTATI'!N$32</f>
        <v>0</v>
      </c>
      <c r="AM84" s="187"/>
    </row>
    <row r="85" spans="1:39" x14ac:dyDescent="0.2">
      <c r="A85" s="197">
        <v>79</v>
      </c>
      <c r="B85" s="198" t="s">
        <v>522</v>
      </c>
      <c r="C85" s="198"/>
      <c r="D85" s="178" t="s">
        <v>601</v>
      </c>
      <c r="E85" s="152" t="s">
        <v>529</v>
      </c>
      <c r="F85" s="211" t="s">
        <v>148</v>
      </c>
      <c r="G85" s="197" t="s">
        <v>64</v>
      </c>
      <c r="H85" s="214"/>
      <c r="I85" s="197"/>
      <c r="J85" s="212"/>
      <c r="K85" s="212"/>
      <c r="L85" s="197"/>
      <c r="M85" s="175">
        <f>'Geraldy Fachriza'!C$21</f>
        <v>1800000</v>
      </c>
      <c r="N85" s="175">
        <f>'Geraldy Fachriza'!C$36</f>
        <v>0</v>
      </c>
      <c r="O85" s="175">
        <f>'Geraldy Fachriza'!D$21</f>
        <v>1800000</v>
      </c>
      <c r="P85" s="175">
        <f>'Geraldy Fachriza'!D$36</f>
        <v>0</v>
      </c>
      <c r="Q85" s="175">
        <f>'Geraldy Fachriza'!E$21</f>
        <v>1800000</v>
      </c>
      <c r="R85" s="175">
        <f>'Geraldy Fachriza'!E$36</f>
        <v>0</v>
      </c>
      <c r="S85" s="175">
        <f>'Geraldy Fachriza'!F$21</f>
        <v>0</v>
      </c>
      <c r="T85" s="175">
        <f>'Geraldy Fachriza'!F$36</f>
        <v>0</v>
      </c>
      <c r="U85" s="175">
        <f>'Geraldy Fachriza'!P$20</f>
        <v>0</v>
      </c>
      <c r="V85" s="175">
        <f>'Geraldy Fachriza'!P$37</f>
        <v>0</v>
      </c>
      <c r="W85" s="175">
        <f>'Geraldy Fachriza'!G$21</f>
        <v>2250000</v>
      </c>
      <c r="X85" s="175">
        <f>'Geraldy Fachriza'!G$36</f>
        <v>0</v>
      </c>
      <c r="Y85" s="175">
        <f>'Geraldy Fachriza'!H$21</f>
        <v>1800000</v>
      </c>
      <c r="Z85" s="175">
        <f>'Geraldy Fachriza'!H$36</f>
        <v>0</v>
      </c>
      <c r="AA85" s="175">
        <f>'Geraldy Fachriza'!I$21</f>
        <v>1800000</v>
      </c>
      <c r="AB85" s="175">
        <f>'Geraldy Fachriza'!I$36</f>
        <v>0</v>
      </c>
      <c r="AC85" s="175">
        <f>'Geraldy Fachriza'!J$21</f>
        <v>1800000</v>
      </c>
      <c r="AD85" s="175">
        <f>'Geraldy Fachriza'!J$36</f>
        <v>0</v>
      </c>
      <c r="AE85" s="175">
        <f>'Geraldy Fachriza'!K$21</f>
        <v>1800000</v>
      </c>
      <c r="AF85" s="175">
        <f>'Geraldy Fachriza'!K$36</f>
        <v>0</v>
      </c>
      <c r="AG85" s="175">
        <f>'Geraldy Fachriza'!L$21</f>
        <v>1800000</v>
      </c>
      <c r="AH85" s="175">
        <f>'Geraldy Fachriza'!L$36</f>
        <v>0</v>
      </c>
      <c r="AI85" s="175">
        <f>'Geraldy Fachriza'!M$21</f>
        <v>2050000</v>
      </c>
      <c r="AJ85" s="175">
        <f>'Geraldy Fachriza'!M$36</f>
        <v>0</v>
      </c>
      <c r="AK85" s="175">
        <f>'Geraldy Fachriza'!N$21</f>
        <v>1900000</v>
      </c>
      <c r="AL85" s="175">
        <f>'Geraldy Fachriza'!N$36</f>
        <v>0</v>
      </c>
      <c r="AM85" s="187"/>
    </row>
    <row r="86" spans="1:39" x14ac:dyDescent="0.2">
      <c r="A86" s="197">
        <v>80</v>
      </c>
      <c r="B86" s="198" t="s">
        <v>522</v>
      </c>
      <c r="C86" s="198"/>
      <c r="D86" s="178" t="s">
        <v>602</v>
      </c>
      <c r="E86" s="152" t="s">
        <v>529</v>
      </c>
      <c r="F86" s="211" t="s">
        <v>116</v>
      </c>
      <c r="G86" s="197" t="s">
        <v>67</v>
      </c>
      <c r="H86" s="214"/>
      <c r="I86" s="197"/>
      <c r="J86" s="212"/>
      <c r="K86" s="212"/>
      <c r="L86" s="197"/>
      <c r="M86" s="175">
        <f>RUSMIATI!C$17</f>
        <v>0</v>
      </c>
      <c r="N86" s="175">
        <f>RUSMIATI!C$32</f>
        <v>0</v>
      </c>
      <c r="O86" s="175">
        <f>RUSMIATI!D$17</f>
        <v>0</v>
      </c>
      <c r="P86" s="175">
        <f>RUSMIATI!D$32</f>
        <v>0</v>
      </c>
      <c r="Q86" s="175">
        <f>RUSMIATI!E$17</f>
        <v>0</v>
      </c>
      <c r="R86" s="175">
        <f>RUSMIATI!E$32</f>
        <v>0</v>
      </c>
      <c r="S86" s="175">
        <f>RUSMIATI!F$17</f>
        <v>0</v>
      </c>
      <c r="T86" s="175">
        <f>RUSMIATI!F$32</f>
        <v>0</v>
      </c>
      <c r="U86" s="175">
        <f>RUSMIATI!P$16</f>
        <v>0</v>
      </c>
      <c r="V86" s="175">
        <f>RUSMIATI!P$33</f>
        <v>0</v>
      </c>
      <c r="W86" s="175">
        <f>RUSMIATI!G$17</f>
        <v>0</v>
      </c>
      <c r="X86" s="175">
        <f>RUSMIATI!G$32</f>
        <v>0</v>
      </c>
      <c r="Y86" s="175">
        <f>RUSMIATI!H$17</f>
        <v>0</v>
      </c>
      <c r="Z86" s="175">
        <f>RUSMIATI!H$32</f>
        <v>0</v>
      </c>
      <c r="AA86" s="175">
        <f>RUSMIATI!I$17</f>
        <v>0</v>
      </c>
      <c r="AB86" s="175">
        <f>RUSMIATI!I$32</f>
        <v>0</v>
      </c>
      <c r="AC86" s="175">
        <f>RUSMIATI!J$17</f>
        <v>0</v>
      </c>
      <c r="AD86" s="175">
        <f>RUSMIATI!J$32</f>
        <v>0</v>
      </c>
      <c r="AE86" s="175">
        <f>RUSMIATI!K$17</f>
        <v>0</v>
      </c>
      <c r="AF86" s="175">
        <f>RUSMIATI!K$32</f>
        <v>0</v>
      </c>
      <c r="AG86" s="175">
        <f>RUSMIATI!L$17</f>
        <v>0</v>
      </c>
      <c r="AH86" s="175">
        <f>RUSMIATI!L$32</f>
        <v>0</v>
      </c>
      <c r="AI86" s="175">
        <f>RUSMIATI!M$17</f>
        <v>0</v>
      </c>
      <c r="AJ86" s="175">
        <f>RUSMIATI!M$32</f>
        <v>0</v>
      </c>
      <c r="AK86" s="175">
        <f>RUSMIATI!N$17</f>
        <v>0</v>
      </c>
      <c r="AL86" s="175">
        <f>RUSMIATI!N$32</f>
        <v>0</v>
      </c>
      <c r="AM86" s="187"/>
    </row>
    <row r="87" spans="1:39" x14ac:dyDescent="0.2">
      <c r="A87" s="197">
        <v>81</v>
      </c>
      <c r="B87" s="198" t="s">
        <v>522</v>
      </c>
      <c r="C87" s="198"/>
      <c r="D87" s="178" t="s">
        <v>603</v>
      </c>
      <c r="E87" s="152" t="s">
        <v>529</v>
      </c>
      <c r="F87" s="211" t="s">
        <v>116</v>
      </c>
      <c r="G87" s="197" t="s">
        <v>67</v>
      </c>
      <c r="H87" s="214"/>
      <c r="I87" s="197"/>
      <c r="J87" s="212"/>
      <c r="K87" s="212"/>
      <c r="L87" s="197"/>
      <c r="M87" s="175">
        <f>RISKAWATI!C$21</f>
        <v>3250000</v>
      </c>
      <c r="N87" s="175">
        <f>RISKAWATI!C$36</f>
        <v>0</v>
      </c>
      <c r="O87" s="175">
        <f>RISKAWATI!D$21</f>
        <v>3250000</v>
      </c>
      <c r="P87" s="175">
        <f>RISKAWATI!D$36</f>
        <v>0</v>
      </c>
      <c r="Q87" s="175">
        <f>RISKAWATI!E$21</f>
        <v>3500000</v>
      </c>
      <c r="R87" s="175">
        <f>RISKAWATI!E$36</f>
        <v>0</v>
      </c>
      <c r="S87" s="175">
        <f>RISKAWATI!F$21</f>
        <v>0</v>
      </c>
      <c r="T87" s="175">
        <f>RISKAWATI!F$36</f>
        <v>0</v>
      </c>
      <c r="U87" s="175">
        <f>RISKAWATI!P$20</f>
        <v>0</v>
      </c>
      <c r="V87" s="175">
        <f>RISKAWATI!P$37</f>
        <v>0</v>
      </c>
      <c r="W87" s="175">
        <f>RISKAWATI!G$21</f>
        <v>3267000</v>
      </c>
      <c r="X87" s="175">
        <f>RISKAWATI!G$36</f>
        <v>0</v>
      </c>
      <c r="Y87" s="175">
        <f>RISKAWATI!H$21</f>
        <v>0</v>
      </c>
      <c r="Z87" s="175">
        <f>RISKAWATI!H$36</f>
        <v>0</v>
      </c>
      <c r="AA87" s="175">
        <f>RISKAWATI!I$21</f>
        <v>0</v>
      </c>
      <c r="AB87" s="175">
        <f>RISKAWATI!I$36</f>
        <v>0</v>
      </c>
      <c r="AC87" s="175">
        <f>RISKAWATI!J$21</f>
        <v>0</v>
      </c>
      <c r="AD87" s="175">
        <f>RISKAWATI!J$36</f>
        <v>0</v>
      </c>
      <c r="AE87" s="175">
        <f>RISKAWATI!K$21</f>
        <v>0</v>
      </c>
      <c r="AF87" s="175">
        <f>RISKAWATI!K$36</f>
        <v>0</v>
      </c>
      <c r="AG87" s="175">
        <f>RISKAWATI!L$21</f>
        <v>0</v>
      </c>
      <c r="AH87" s="175">
        <f>RISKAWATI!L$36</f>
        <v>0</v>
      </c>
      <c r="AI87" s="175">
        <f>RISKAWATI!M$21</f>
        <v>0</v>
      </c>
      <c r="AJ87" s="175">
        <f>RISKAWATI!M$36</f>
        <v>0</v>
      </c>
      <c r="AK87" s="175">
        <f>RISKAWATI!N$21</f>
        <v>0</v>
      </c>
      <c r="AL87" s="175">
        <f>RISKAWATI!N$36</f>
        <v>0</v>
      </c>
      <c r="AM87" s="187"/>
    </row>
    <row r="88" spans="1:39" x14ac:dyDescent="0.2">
      <c r="A88" s="197">
        <v>82</v>
      </c>
      <c r="B88" s="198" t="s">
        <v>522</v>
      </c>
      <c r="C88" s="198"/>
      <c r="D88" s="178" t="s">
        <v>604</v>
      </c>
      <c r="E88" s="152" t="s">
        <v>529</v>
      </c>
      <c r="F88" s="211" t="s">
        <v>148</v>
      </c>
      <c r="G88" s="197" t="s">
        <v>64</v>
      </c>
      <c r="H88" s="214"/>
      <c r="I88" s="197"/>
      <c r="J88" s="212"/>
      <c r="K88" s="212"/>
      <c r="L88" s="197"/>
      <c r="M88" s="175">
        <f>'EKO MINTARTI'!C$21</f>
        <v>2200000</v>
      </c>
      <c r="N88" s="175">
        <f>'EKO MINTARTI'!C$36</f>
        <v>0</v>
      </c>
      <c r="O88" s="175">
        <f>'EKO MINTARTI'!D$21</f>
        <v>2500000</v>
      </c>
      <c r="P88" s="175">
        <f>'EKO MINTARTI'!D$36</f>
        <v>0</v>
      </c>
      <c r="Q88" s="175">
        <f>'EKO MINTARTI'!E$21</f>
        <v>2500000</v>
      </c>
      <c r="R88" s="175">
        <f>'EKO MINTARTI'!E$36</f>
        <v>0</v>
      </c>
      <c r="S88" s="175">
        <f>'EKO MINTARTI'!F$21</f>
        <v>0</v>
      </c>
      <c r="T88" s="175">
        <f>'EKO MINTARTI'!F$36</f>
        <v>0</v>
      </c>
      <c r="U88" s="175">
        <f>'EKO MINTARTI'!P$20</f>
        <v>0</v>
      </c>
      <c r="V88" s="175">
        <f>'EKO MINTARTI'!P$37</f>
        <v>0</v>
      </c>
      <c r="W88" s="175">
        <f>'EKO MINTARTI'!G$21</f>
        <v>1750000</v>
      </c>
      <c r="X88" s="175">
        <f>'EKO MINTARTI'!G$36</f>
        <v>0</v>
      </c>
      <c r="Y88" s="175">
        <f>'EKO MINTARTI'!H$21</f>
        <v>2500000</v>
      </c>
      <c r="Z88" s="175">
        <f>'EKO MINTARTI'!H$36</f>
        <v>0</v>
      </c>
      <c r="AA88" s="175">
        <f>'EKO MINTARTI'!I$21</f>
        <v>0</v>
      </c>
      <c r="AB88" s="175">
        <f>'EKO MINTARTI'!I$36</f>
        <v>0</v>
      </c>
      <c r="AC88" s="175">
        <f>'EKO MINTARTI'!J$21</f>
        <v>2700000</v>
      </c>
      <c r="AD88" s="175">
        <f>'EKO MINTARTI'!J$36</f>
        <v>0</v>
      </c>
      <c r="AE88" s="175">
        <f>'EKO MINTARTI'!K$21</f>
        <v>0</v>
      </c>
      <c r="AF88" s="175">
        <f>'EKO MINTARTI'!K$36</f>
        <v>0</v>
      </c>
      <c r="AG88" s="175">
        <f>'EKO MINTARTI'!L$21</f>
        <v>0</v>
      </c>
      <c r="AH88" s="175">
        <f>'EKO MINTARTI'!L$36</f>
        <v>0</v>
      </c>
      <c r="AI88" s="175">
        <f>'EKO MINTARTI'!M$21</f>
        <v>0</v>
      </c>
      <c r="AJ88" s="175">
        <f>'EKO MINTARTI'!M$36</f>
        <v>0</v>
      </c>
      <c r="AK88" s="175">
        <f>'EKO MINTARTI'!N$21</f>
        <v>0</v>
      </c>
      <c r="AL88" s="175">
        <f>'EKO MINTARTI'!N$36</f>
        <v>0</v>
      </c>
      <c r="AM88" s="187"/>
    </row>
    <row r="89" spans="1:39" x14ac:dyDescent="0.2">
      <c r="A89" s="197">
        <v>83</v>
      </c>
      <c r="B89" s="198" t="s">
        <v>522</v>
      </c>
      <c r="C89" s="198"/>
      <c r="D89" s="178" t="s">
        <v>605</v>
      </c>
      <c r="E89" s="152" t="s">
        <v>529</v>
      </c>
      <c r="F89" s="211" t="s">
        <v>116</v>
      </c>
      <c r="G89" s="197" t="s">
        <v>67</v>
      </c>
      <c r="H89" s="214"/>
      <c r="I89" s="197"/>
      <c r="J89" s="212"/>
      <c r="K89" s="212"/>
      <c r="L89" s="197"/>
      <c r="M89" s="175">
        <f>'THERESIA MINARSIH'!C$17</f>
        <v>0</v>
      </c>
      <c r="N89" s="175">
        <f>'THERESIA MINARSIH'!C$32</f>
        <v>0</v>
      </c>
      <c r="O89" s="175">
        <f>'THERESIA MINARSIH'!D$17</f>
        <v>0</v>
      </c>
      <c r="P89" s="175">
        <f>'THERESIA MINARSIH'!D$32</f>
        <v>0</v>
      </c>
      <c r="Q89" s="175">
        <f>'THERESIA MINARSIH'!E$17</f>
        <v>0</v>
      </c>
      <c r="R89" s="175">
        <f>'THERESIA MINARSIH'!E$32</f>
        <v>0</v>
      </c>
      <c r="S89" s="175">
        <f>'THERESIA MINARSIH'!F$17</f>
        <v>0</v>
      </c>
      <c r="T89" s="175">
        <f>'THERESIA MINARSIH'!F$32</f>
        <v>0</v>
      </c>
      <c r="U89" s="175">
        <f>'THERESIA MINARSIH'!P$16</f>
        <v>0</v>
      </c>
      <c r="V89" s="175">
        <f>'THERESIA MINARSIH'!P$33</f>
        <v>0</v>
      </c>
      <c r="W89" s="175">
        <f>'THERESIA MINARSIH'!G$17</f>
        <v>0</v>
      </c>
      <c r="X89" s="175">
        <f>'THERESIA MINARSIH'!G$32</f>
        <v>0</v>
      </c>
      <c r="Y89" s="175">
        <f>'THERESIA MINARSIH'!H$17</f>
        <v>0</v>
      </c>
      <c r="Z89" s="175">
        <f>'THERESIA MINARSIH'!H$32</f>
        <v>0</v>
      </c>
      <c r="AA89" s="175">
        <f>'THERESIA MINARSIH'!I$17</f>
        <v>0</v>
      </c>
      <c r="AB89" s="175">
        <f>'THERESIA MINARSIH'!I$32</f>
        <v>0</v>
      </c>
      <c r="AC89" s="175">
        <f>'THERESIA MINARSIH'!J$17</f>
        <v>0</v>
      </c>
      <c r="AD89" s="175">
        <f>'THERESIA MINARSIH'!J$32</f>
        <v>0</v>
      </c>
      <c r="AE89" s="175">
        <f>'THERESIA MINARSIH'!K$17</f>
        <v>0</v>
      </c>
      <c r="AF89" s="175">
        <f>'THERESIA MINARSIH'!K$32</f>
        <v>0</v>
      </c>
      <c r="AG89" s="175">
        <f>'THERESIA MINARSIH'!L$17</f>
        <v>0</v>
      </c>
      <c r="AH89" s="175">
        <f>'THERESIA MINARSIH'!L$32</f>
        <v>0</v>
      </c>
      <c r="AI89" s="175">
        <f>'THERESIA MINARSIH'!M$17</f>
        <v>0</v>
      </c>
      <c r="AJ89" s="175">
        <f>'THERESIA MINARSIH'!M$32</f>
        <v>0</v>
      </c>
      <c r="AK89" s="175">
        <f>'THERESIA MINARSIH'!N$17</f>
        <v>0</v>
      </c>
      <c r="AL89" s="175">
        <f>'THERESIA MINARSIH'!N$32</f>
        <v>0</v>
      </c>
      <c r="AM89" s="187"/>
    </row>
    <row r="90" spans="1:39" x14ac:dyDescent="0.2">
      <c r="A90" s="197">
        <v>84</v>
      </c>
      <c r="B90" s="198" t="s">
        <v>522</v>
      </c>
      <c r="C90" s="198"/>
      <c r="D90" s="178" t="s">
        <v>606</v>
      </c>
      <c r="E90" s="152" t="s">
        <v>529</v>
      </c>
      <c r="F90" s="211" t="s">
        <v>116</v>
      </c>
      <c r="G90" s="197" t="s">
        <v>67</v>
      </c>
      <c r="H90" s="214"/>
      <c r="I90" s="197"/>
      <c r="J90" s="212"/>
      <c r="K90" s="212"/>
      <c r="L90" s="197"/>
      <c r="M90" s="175">
        <f>LESTARIYANI!C$21</f>
        <v>2750000</v>
      </c>
      <c r="N90" s="175">
        <f>LESTARIYANI!C$36</f>
        <v>0</v>
      </c>
      <c r="O90" s="175">
        <f>LESTARIYANI!D$21</f>
        <v>0</v>
      </c>
      <c r="P90" s="175">
        <f>LESTARIYANI!D$36</f>
        <v>0</v>
      </c>
      <c r="Q90" s="175">
        <f>LESTARIYANI!E$21</f>
        <v>0</v>
      </c>
      <c r="R90" s="175">
        <f>LESTARIYANI!E$36</f>
        <v>0</v>
      </c>
      <c r="S90" s="175">
        <f>LESTARIYANI!F$21</f>
        <v>0</v>
      </c>
      <c r="T90" s="175">
        <f>LESTARIYANI!F$36</f>
        <v>0</v>
      </c>
      <c r="U90" s="175">
        <f>LESTARIYANI!P$20</f>
        <v>0</v>
      </c>
      <c r="V90" s="175">
        <f>LESTARIYANI!P$37</f>
        <v>0</v>
      </c>
      <c r="W90" s="175">
        <f>LESTARIYANI!G$21</f>
        <v>0</v>
      </c>
      <c r="X90" s="175">
        <f>LESTARIYANI!G$36</f>
        <v>0</v>
      </c>
      <c r="Y90" s="175">
        <f>LESTARIYANI!H$21</f>
        <v>0</v>
      </c>
      <c r="Z90" s="175">
        <f>LESTARIYANI!H$36</f>
        <v>0</v>
      </c>
      <c r="AA90" s="175">
        <f>LESTARIYANI!I$21</f>
        <v>0</v>
      </c>
      <c r="AB90" s="175">
        <f>LESTARIYANI!I$36</f>
        <v>0</v>
      </c>
      <c r="AC90" s="175">
        <f>LESTARIYANI!J$21</f>
        <v>0</v>
      </c>
      <c r="AD90" s="175">
        <f>LESTARIYANI!J$36</f>
        <v>0</v>
      </c>
      <c r="AE90" s="175">
        <f>LESTARIYANI!K$21</f>
        <v>0</v>
      </c>
      <c r="AF90" s="175">
        <f>LESTARIYANI!K$36</f>
        <v>0</v>
      </c>
      <c r="AG90" s="175">
        <f>LESTARIYANI!L$21</f>
        <v>0</v>
      </c>
      <c r="AH90" s="175">
        <f>LESTARIYANI!L$36</f>
        <v>0</v>
      </c>
      <c r="AI90" s="175">
        <f>LESTARIYANI!M$21</f>
        <v>0</v>
      </c>
      <c r="AJ90" s="175">
        <f>LESTARIYANI!M$36</f>
        <v>0</v>
      </c>
      <c r="AK90" s="175">
        <f>LESTARIYANI!N$21</f>
        <v>0</v>
      </c>
      <c r="AL90" s="175">
        <f>LESTARIYANI!N$36</f>
        <v>0</v>
      </c>
      <c r="AM90" s="187"/>
    </row>
    <row r="91" spans="1:39" x14ac:dyDescent="0.2">
      <c r="A91" s="197">
        <v>85</v>
      </c>
      <c r="B91" s="198" t="s">
        <v>522</v>
      </c>
      <c r="C91" s="198"/>
      <c r="D91" s="178" t="s">
        <v>607</v>
      </c>
      <c r="E91" s="152" t="s">
        <v>529</v>
      </c>
      <c r="F91" s="211" t="s">
        <v>148</v>
      </c>
      <c r="G91" s="197" t="s">
        <v>64</v>
      </c>
      <c r="H91" s="214"/>
      <c r="I91" s="197"/>
      <c r="J91" s="212"/>
      <c r="K91" s="212"/>
      <c r="L91" s="197"/>
      <c r="M91" s="175">
        <f>'M. Fajar Romadon'!C21</f>
        <v>681818.18181818177</v>
      </c>
      <c r="N91" s="175">
        <f>'M. Fajar Romadon'!C36</f>
        <v>0</v>
      </c>
      <c r="O91" s="175">
        <f>'M. Fajar Romadon'!D21</f>
        <v>1500000</v>
      </c>
      <c r="P91" s="175">
        <f>'M. Fajar Romadon'!D36</f>
        <v>0</v>
      </c>
      <c r="Q91" s="175">
        <f>'M. Fajar Romadon'!E21</f>
        <v>1500000</v>
      </c>
      <c r="R91" s="175">
        <f>'M. Fajar Romadon'!E36</f>
        <v>0</v>
      </c>
      <c r="S91" s="175">
        <f>'M. Fajar Romadon'!F21</f>
        <v>1500000</v>
      </c>
      <c r="T91" s="175">
        <f>'M. Fajar Romadon'!F36</f>
        <v>0</v>
      </c>
      <c r="U91" s="175">
        <f>'M. Fajar Romadon'!P20</f>
        <v>1000000</v>
      </c>
      <c r="V91" s="175">
        <f>'M. Fajar Romadon'!P37</f>
        <v>0</v>
      </c>
      <c r="W91" s="175">
        <f>'M. Fajar Romadon'!G21</f>
        <v>1500000</v>
      </c>
      <c r="X91" s="175">
        <f>'M. Fajar Romadon'!G36</f>
        <v>0</v>
      </c>
      <c r="Y91" s="175">
        <f>'M. Fajar Romadon'!H21</f>
        <v>1500000</v>
      </c>
      <c r="Z91" s="175">
        <f>'M. Fajar Romadon'!H36</f>
        <v>0</v>
      </c>
      <c r="AA91" s="175">
        <f>'M. Fajar Romadon'!I$21</f>
        <v>1500000</v>
      </c>
      <c r="AB91" s="175">
        <f>'M. Fajar Romadon'!I$36</f>
        <v>0</v>
      </c>
      <c r="AC91" s="175">
        <f>'M. Fajar Romadon'!J$21</f>
        <v>1500000</v>
      </c>
      <c r="AD91" s="175">
        <f>'M. Fajar Romadon'!J$36</f>
        <v>0</v>
      </c>
      <c r="AE91" s="175">
        <f>'M. Fajar Romadon'!K$21</f>
        <v>1500000</v>
      </c>
      <c r="AF91" s="175">
        <f>'M. Fajar Romadon'!K$36</f>
        <v>0</v>
      </c>
      <c r="AG91" s="175">
        <f>'M. Fajar Romadon'!L$21</f>
        <v>1500000</v>
      </c>
      <c r="AH91" s="175">
        <f>'M. Fajar Romadon'!L$36</f>
        <v>0</v>
      </c>
      <c r="AI91" s="175">
        <f>'M. Fajar Romadon'!M$21</f>
        <v>1500000</v>
      </c>
      <c r="AJ91" s="175">
        <f>'M. Fajar Romadon'!M$36</f>
        <v>0</v>
      </c>
      <c r="AK91" s="175">
        <f>'M. Fajar Romadon'!N$21</f>
        <v>1500000</v>
      </c>
      <c r="AL91" s="175">
        <f>'M. Fajar Romadon'!N$36</f>
        <v>0</v>
      </c>
      <c r="AM91" s="187"/>
    </row>
    <row r="92" spans="1:39" x14ac:dyDescent="0.2">
      <c r="A92" s="197">
        <v>86</v>
      </c>
      <c r="B92" s="198" t="s">
        <v>522</v>
      </c>
      <c r="C92" s="198"/>
      <c r="D92" s="178" t="s">
        <v>608</v>
      </c>
      <c r="E92" s="152" t="s">
        <v>529</v>
      </c>
      <c r="F92" s="211" t="s">
        <v>116</v>
      </c>
      <c r="G92" s="197" t="s">
        <v>67</v>
      </c>
      <c r="H92" s="214"/>
      <c r="I92" s="197"/>
      <c r="J92" s="212"/>
      <c r="K92" s="212"/>
      <c r="L92" s="197"/>
      <c r="M92" s="175">
        <f>Solihati!C21</f>
        <v>3500000</v>
      </c>
      <c r="N92" s="175">
        <f>Solihati!D36</f>
        <v>0</v>
      </c>
      <c r="O92" s="175">
        <f>Solihati!D21</f>
        <v>0</v>
      </c>
      <c r="P92" s="175">
        <f>Solihati!D36</f>
        <v>0</v>
      </c>
      <c r="Q92" s="175">
        <f>Solihati!E21</f>
        <v>0</v>
      </c>
      <c r="R92" s="175">
        <f>Solihati!E36</f>
        <v>0</v>
      </c>
      <c r="S92" s="175">
        <f>Solihati!F21</f>
        <v>0</v>
      </c>
      <c r="T92" s="175">
        <f>Solihati!F36</f>
        <v>0</v>
      </c>
      <c r="U92" s="175">
        <f>Solihati!P20</f>
        <v>0</v>
      </c>
      <c r="V92" s="175">
        <f>Solihati!P37</f>
        <v>0</v>
      </c>
      <c r="W92" s="175">
        <f>Solihati!G21</f>
        <v>2986380</v>
      </c>
      <c r="X92" s="175">
        <f>Solihati!G36</f>
        <v>0</v>
      </c>
      <c r="Y92" s="175">
        <f>Solihati!H21</f>
        <v>0</v>
      </c>
      <c r="Z92" s="175">
        <f>Solihati!H36</f>
        <v>0</v>
      </c>
      <c r="AA92" s="175">
        <f>Solihati!I$21</f>
        <v>0</v>
      </c>
      <c r="AB92" s="175">
        <f>Solihati!I$36</f>
        <v>0</v>
      </c>
      <c r="AC92" s="175">
        <f>Solihati!J$21</f>
        <v>4000000</v>
      </c>
      <c r="AD92" s="175">
        <f>Solihati!J$36</f>
        <v>0</v>
      </c>
      <c r="AE92" s="175">
        <f>Solihati!K$21</f>
        <v>0</v>
      </c>
      <c r="AF92" s="175">
        <f>Solihati!K$36</f>
        <v>0</v>
      </c>
      <c r="AG92" s="175">
        <f>Solihati!L$21</f>
        <v>4000000</v>
      </c>
      <c r="AH92" s="175">
        <f>Solihati!L$36</f>
        <v>0</v>
      </c>
      <c r="AI92" s="175">
        <f>Solihati!M$21</f>
        <v>0</v>
      </c>
      <c r="AJ92" s="175">
        <f>Solihati!M$36</f>
        <v>0</v>
      </c>
      <c r="AK92" s="175">
        <f>Solihati!N$21</f>
        <v>0</v>
      </c>
      <c r="AL92" s="175">
        <f>Solihati!N$36</f>
        <v>0</v>
      </c>
      <c r="AM92" s="187"/>
    </row>
    <row r="93" spans="1:39" x14ac:dyDescent="0.2">
      <c r="A93" s="197">
        <v>87</v>
      </c>
      <c r="B93" s="198" t="s">
        <v>522</v>
      </c>
      <c r="C93" s="198"/>
      <c r="D93" s="178" t="s">
        <v>609</v>
      </c>
      <c r="E93" s="152" t="s">
        <v>529</v>
      </c>
      <c r="F93" s="211" t="s">
        <v>116</v>
      </c>
      <c r="G93" s="197" t="s">
        <v>67</v>
      </c>
      <c r="H93" s="214"/>
      <c r="I93" s="197"/>
      <c r="J93" s="212"/>
      <c r="K93" s="212"/>
      <c r="L93" s="197"/>
      <c r="M93" s="175">
        <f>'Art Rasna'!C21</f>
        <v>1000000</v>
      </c>
      <c r="N93" s="175">
        <f>'Art Rasna'!D36</f>
        <v>0</v>
      </c>
      <c r="O93" s="175">
        <f>'Art Rasna'!D21</f>
        <v>0</v>
      </c>
      <c r="P93" s="175">
        <f>'Art Rasna'!D36</f>
        <v>0</v>
      </c>
      <c r="Q93" s="175">
        <f>'Art Rasna'!E21</f>
        <v>0</v>
      </c>
      <c r="R93" s="175">
        <f>'Art Rasna'!E36</f>
        <v>0</v>
      </c>
      <c r="S93" s="175">
        <f>'Art Rasna'!F21</f>
        <v>0</v>
      </c>
      <c r="T93" s="175">
        <f>'Art Rasna'!F36</f>
        <v>0</v>
      </c>
      <c r="U93" s="175">
        <f>'Art Rasna'!P20</f>
        <v>0</v>
      </c>
      <c r="V93" s="175">
        <f>'Art Rasna'!P37</f>
        <v>0</v>
      </c>
      <c r="W93" s="175">
        <f>'Art Rasna'!G21</f>
        <v>0</v>
      </c>
      <c r="X93" s="175">
        <f>'Art Rasna'!G36</f>
        <v>0</v>
      </c>
      <c r="Y93" s="175">
        <f>'Art Rasna'!H21</f>
        <v>0</v>
      </c>
      <c r="Z93" s="175">
        <f>'Art Rasna'!H36</f>
        <v>0</v>
      </c>
      <c r="AA93" s="175">
        <f>'Art Rasna'!I21</f>
        <v>0</v>
      </c>
      <c r="AB93" s="175">
        <f>'Art Rasna'!I36</f>
        <v>0</v>
      </c>
      <c r="AC93" s="175">
        <f>'Art Rasna'!J21</f>
        <v>4000000</v>
      </c>
      <c r="AD93" s="175">
        <f>'Art Rasna'!J36</f>
        <v>0</v>
      </c>
      <c r="AE93" s="175">
        <f>'Art Rasna'!K$21</f>
        <v>0</v>
      </c>
      <c r="AF93" s="175">
        <f>'Art Rasna'!K$36</f>
        <v>0</v>
      </c>
      <c r="AG93" s="175">
        <f>'Art Rasna'!L$21</f>
        <v>0</v>
      </c>
      <c r="AH93" s="175">
        <f>'Art Rasna'!L$36</f>
        <v>0</v>
      </c>
      <c r="AI93" s="175">
        <f>'Art Rasna'!M$21</f>
        <v>0</v>
      </c>
      <c r="AJ93" s="175">
        <f>'Art Rasna'!M$36</f>
        <v>0</v>
      </c>
      <c r="AK93" s="175">
        <f>'Art Rasna'!N$21</f>
        <v>0</v>
      </c>
      <c r="AL93" s="175">
        <f>'Art Rasna'!N$36</f>
        <v>0</v>
      </c>
      <c r="AM93" s="187"/>
    </row>
    <row r="94" spans="1:39" x14ac:dyDescent="0.2">
      <c r="A94" s="197">
        <v>88</v>
      </c>
      <c r="B94" s="198" t="s">
        <v>522</v>
      </c>
      <c r="C94" s="198"/>
      <c r="D94" s="178" t="s">
        <v>622</v>
      </c>
      <c r="E94" s="152" t="s">
        <v>529</v>
      </c>
      <c r="F94" s="211" t="s">
        <v>116</v>
      </c>
      <c r="G94" s="197" t="s">
        <v>67</v>
      </c>
      <c r="H94" s="214"/>
      <c r="I94" s="197"/>
      <c r="J94" s="212"/>
      <c r="K94" s="212"/>
      <c r="L94" s="197"/>
      <c r="M94" s="175"/>
      <c r="N94" s="175"/>
      <c r="O94" s="175">
        <f>'Aat Fatimatuzzahro'!D21</f>
        <v>2750000</v>
      </c>
      <c r="P94" s="175">
        <f>'Aat Fatimatuzzahro'!D36</f>
        <v>0</v>
      </c>
      <c r="Q94" s="175">
        <f>'Aat Fatimatuzzahro'!E21</f>
        <v>4000000</v>
      </c>
      <c r="R94" s="175">
        <f>'Aat Fatimatuzzahro'!E36</f>
        <v>0</v>
      </c>
      <c r="S94" s="175">
        <f>'Aat Fatimatuzzahro'!F21</f>
        <v>4000000</v>
      </c>
      <c r="T94" s="175">
        <f>'Aat Fatimatuzzahro'!F36</f>
        <v>0</v>
      </c>
      <c r="U94" s="175">
        <f>'Aat Fatimatuzzahro'!P20</f>
        <v>2000000</v>
      </c>
      <c r="V94" s="175">
        <f>'Aat Fatimatuzzahro'!P37</f>
        <v>0</v>
      </c>
      <c r="W94" s="175">
        <f>'Aat Fatimatuzzahro'!G21</f>
        <v>4000000</v>
      </c>
      <c r="X94" s="175">
        <f>'Aat Fatimatuzzahro'!G36</f>
        <v>0</v>
      </c>
      <c r="Y94" s="175">
        <f>'Aat Fatimatuzzahro'!H21</f>
        <v>4100000</v>
      </c>
      <c r="Z94" s="175">
        <f>'Aat Fatimatuzzahro'!H36</f>
        <v>0</v>
      </c>
      <c r="AA94" s="175">
        <f>'Aat Fatimatuzzahro'!I$21</f>
        <v>4100000</v>
      </c>
      <c r="AB94" s="175">
        <f>'Aat Fatimatuzzahro'!I$36</f>
        <v>0</v>
      </c>
      <c r="AC94" s="175">
        <f>'Aat Fatimatuzzahro'!J21</f>
        <v>4150000</v>
      </c>
      <c r="AD94" s="175">
        <f>'Aat Fatimatuzzahro'!J$36</f>
        <v>0</v>
      </c>
      <c r="AE94" s="175">
        <f>'Aat Fatimatuzzahro'!K$21</f>
        <v>4050000</v>
      </c>
      <c r="AF94" s="175">
        <f>'Aat Fatimatuzzahro'!K$36</f>
        <v>0</v>
      </c>
      <c r="AG94" s="175">
        <f>'Aat Fatimatuzzahro'!L$21</f>
        <v>4050000</v>
      </c>
      <c r="AH94" s="175">
        <f>'Aat Fatimatuzzahro'!L$36</f>
        <v>0</v>
      </c>
      <c r="AI94" s="175">
        <f>'Aat Fatimatuzzahro'!M$21</f>
        <v>4250000</v>
      </c>
      <c r="AJ94" s="175">
        <f>'Aat Fatimatuzzahro'!M$36</f>
        <v>0</v>
      </c>
      <c r="AK94" s="175">
        <f>'Aat Fatimatuzzahro'!N$21</f>
        <v>4050000</v>
      </c>
      <c r="AL94" s="175">
        <f>'Aat Fatimatuzzahro'!N$36</f>
        <v>0</v>
      </c>
      <c r="AM94" s="187"/>
    </row>
    <row r="95" spans="1:39" x14ac:dyDescent="0.2">
      <c r="A95" s="197">
        <v>89</v>
      </c>
      <c r="B95" s="198" t="s">
        <v>522</v>
      </c>
      <c r="C95" s="198"/>
      <c r="D95" s="178" t="s">
        <v>623</v>
      </c>
      <c r="E95" s="152" t="s">
        <v>529</v>
      </c>
      <c r="F95" s="211" t="s">
        <v>116</v>
      </c>
      <c r="G95" s="197" t="s">
        <v>67</v>
      </c>
      <c r="H95" s="214"/>
      <c r="I95" s="197"/>
      <c r="J95" s="212"/>
      <c r="K95" s="212"/>
      <c r="L95" s="197"/>
      <c r="M95" s="175"/>
      <c r="N95" s="175"/>
      <c r="O95" s="175">
        <f>'Lidia Fitria Ningsih'!D21</f>
        <v>1363636.36363636</v>
      </c>
      <c r="P95" s="175">
        <f>'Lidia Fitria Ningsih'!D36</f>
        <v>0</v>
      </c>
      <c r="Q95" s="175">
        <f>'Lidia Fitria Ningsih'!E21</f>
        <v>2000000</v>
      </c>
      <c r="R95" s="175">
        <f>'Lidia Fitria Ningsih'!E36</f>
        <v>0</v>
      </c>
      <c r="S95" s="175">
        <f>'Lidia Fitria Ningsih'!F21</f>
        <v>2000000</v>
      </c>
      <c r="T95" s="175">
        <f>'Lidia Fitria Ningsih'!F36</f>
        <v>0</v>
      </c>
      <c r="U95" s="175">
        <f>'Lidia Fitria Ningsih'!P20</f>
        <v>2000000</v>
      </c>
      <c r="V95" s="175">
        <f>'Lidia Fitria Ningsih'!P37</f>
        <v>0</v>
      </c>
      <c r="W95" s="175">
        <f>'Lidia Fitria Ningsih'!G21</f>
        <v>2000000</v>
      </c>
      <c r="X95" s="175">
        <f>'Lidia Fitria Ningsih'!G36</f>
        <v>0</v>
      </c>
      <c r="Y95" s="175">
        <f>'Lidia Fitria Ningsih'!H21</f>
        <v>2100000</v>
      </c>
      <c r="Z95" s="175">
        <f>'Lidia Fitria Ningsih'!H36</f>
        <v>0</v>
      </c>
      <c r="AA95" s="175">
        <f>'Lidia Fitria Ningsih'!I$21</f>
        <v>2150000</v>
      </c>
      <c r="AB95" s="175">
        <f>'Lidia Fitria Ningsih'!I$36</f>
        <v>0</v>
      </c>
      <c r="AC95" s="175">
        <f>'Lidia Fitria Ningsih'!J$21</f>
        <v>2100000</v>
      </c>
      <c r="AD95" s="175">
        <f>'Lidia Fitria Ningsih'!J$36</f>
        <v>0</v>
      </c>
      <c r="AE95" s="175">
        <f>'Lidia Fitria Ningsih'!K$21</f>
        <v>3050000</v>
      </c>
      <c r="AF95" s="175">
        <f>'Lidia Fitria Ningsih'!K$36</f>
        <v>0</v>
      </c>
      <c r="AG95" s="175">
        <f>'Lidia Fitria Ningsih'!L$21</f>
        <v>3050000</v>
      </c>
      <c r="AH95" s="175">
        <f>'Lidia Fitria Ningsih'!L$36</f>
        <v>0</v>
      </c>
      <c r="AI95" s="175">
        <f>'Lidia Fitria Ningsih'!M$21</f>
        <v>3000000</v>
      </c>
      <c r="AJ95" s="175">
        <f>'Lidia Fitria Ningsih'!M$36</f>
        <v>0</v>
      </c>
      <c r="AK95" s="175">
        <f>'Lidia Fitria Ningsih'!N$21</f>
        <v>3150000</v>
      </c>
      <c r="AL95" s="175">
        <f>'Lidia Fitria Ningsih'!N$36</f>
        <v>0</v>
      </c>
      <c r="AM95" s="187"/>
    </row>
    <row r="96" spans="1:39" x14ac:dyDescent="0.2">
      <c r="A96" s="197">
        <v>90</v>
      </c>
      <c r="B96" s="198" t="s">
        <v>522</v>
      </c>
      <c r="C96" s="198"/>
      <c r="D96" s="200" t="s">
        <v>638</v>
      </c>
      <c r="E96" s="152" t="s">
        <v>529</v>
      </c>
      <c r="F96" s="211" t="s">
        <v>148</v>
      </c>
      <c r="G96" s="197" t="s">
        <v>64</v>
      </c>
      <c r="H96" s="214"/>
      <c r="I96" s="197"/>
      <c r="J96" s="212"/>
      <c r="K96" s="212"/>
      <c r="L96" s="197"/>
      <c r="M96" s="175"/>
      <c r="N96" s="175"/>
      <c r="O96" s="175"/>
      <c r="P96" s="175"/>
      <c r="Q96" s="175">
        <f>'Ardan Moris Fendi Arjanggi'!E21</f>
        <v>5000000</v>
      </c>
      <c r="R96" s="175">
        <f>'Ardan Moris Fendi Arjanggi'!E36</f>
        <v>0</v>
      </c>
      <c r="S96" s="175">
        <f>'Ardan Moris Fendi Arjanggi'!F21</f>
        <v>5000000</v>
      </c>
      <c r="T96" s="175">
        <f>'Ardan Moris Fendi Arjanggi'!F36</f>
        <v>0</v>
      </c>
      <c r="U96" s="175">
        <f>'Ardan Moris Fendi Arjanggi'!P20</f>
        <v>5000000</v>
      </c>
      <c r="V96" s="175">
        <f>'Ardan Moris Fendi Arjanggi'!P37</f>
        <v>0</v>
      </c>
      <c r="W96" s="175">
        <f>'Ardan Moris Fendi Arjanggi'!G21</f>
        <v>5000000</v>
      </c>
      <c r="X96" s="175">
        <f>'Ardan Moris Fendi Arjanggi'!G36</f>
        <v>0</v>
      </c>
      <c r="Y96" s="175">
        <f>'Ardan Moris Fendi Arjanggi'!H21</f>
        <v>5150000</v>
      </c>
      <c r="Z96" s="175">
        <f>'Ardan Moris Fendi Arjanggi'!H36</f>
        <v>0</v>
      </c>
      <c r="AA96" s="175">
        <f>'Ardan Moris Fendi Arjanggi'!I$21</f>
        <v>5000000</v>
      </c>
      <c r="AB96" s="175">
        <f>'Ardan Moris Fendi Arjanggi'!I$36</f>
        <v>0</v>
      </c>
      <c r="AC96" s="175">
        <f>'Ardan Moris Fendi Arjanggi'!J$21</f>
        <v>5050000</v>
      </c>
      <c r="AD96" s="175">
        <f>'Ardan Moris Fendi Arjanggi'!J$36</f>
        <v>0</v>
      </c>
      <c r="AE96" s="175">
        <f>'Ardan Moris Fendi Arjanggi'!K$21</f>
        <v>5150000</v>
      </c>
      <c r="AF96" s="175">
        <f>'Ardan Moris Fendi Arjanggi'!K$36</f>
        <v>0</v>
      </c>
      <c r="AG96" s="175">
        <f>'Ardan Moris Fendi Arjanggi'!L$21</f>
        <v>5150000</v>
      </c>
      <c r="AH96" s="175">
        <f>'Ardan Moris Fendi Arjanggi'!L$36</f>
        <v>0</v>
      </c>
      <c r="AI96" s="175">
        <f>'Ardan Moris Fendi Arjanggi'!M$21</f>
        <v>5150000</v>
      </c>
      <c r="AJ96" s="175">
        <f>'Ardan Moris Fendi Arjanggi'!M$36</f>
        <v>0</v>
      </c>
      <c r="AK96" s="175">
        <f>'Ardan Moris Fendi Arjanggi'!N$21</f>
        <v>5150000</v>
      </c>
      <c r="AL96" s="175">
        <f>'Ardan Moris Fendi Arjanggi'!N$36</f>
        <v>0</v>
      </c>
      <c r="AM96" s="187"/>
    </row>
    <row r="97" spans="1:39" x14ac:dyDescent="0.2">
      <c r="A97" s="197">
        <v>91</v>
      </c>
      <c r="B97" s="198" t="s">
        <v>522</v>
      </c>
      <c r="C97" s="198"/>
      <c r="D97" s="200" t="s">
        <v>640</v>
      </c>
      <c r="E97" s="152" t="s">
        <v>529</v>
      </c>
      <c r="F97" s="211" t="s">
        <v>148</v>
      </c>
      <c r="G97" s="197" t="s">
        <v>64</v>
      </c>
      <c r="H97" s="214"/>
      <c r="I97" s="197"/>
      <c r="J97" s="212"/>
      <c r="K97" s="212"/>
      <c r="L97" s="197"/>
      <c r="M97" s="175"/>
      <c r="N97" s="175"/>
      <c r="O97" s="175"/>
      <c r="P97" s="175"/>
      <c r="Q97" s="175">
        <f>DANDI!E21</f>
        <v>1500000</v>
      </c>
      <c r="R97" s="175">
        <f>DANDI!E36</f>
        <v>0</v>
      </c>
      <c r="S97" s="175">
        <f>DANDI!F21</f>
        <v>0</v>
      </c>
      <c r="T97" s="175">
        <f>DANDI!F36</f>
        <v>0</v>
      </c>
      <c r="U97" s="175">
        <f>DANDI!P20</f>
        <v>0</v>
      </c>
      <c r="V97" s="175">
        <f>DANDI!P37</f>
        <v>0</v>
      </c>
      <c r="W97" s="175">
        <f>DANDI!G21</f>
        <v>0</v>
      </c>
      <c r="X97" s="175">
        <f>DANDI!G36</f>
        <v>0</v>
      </c>
      <c r="Y97" s="175">
        <f>DANDI!H21</f>
        <v>0</v>
      </c>
      <c r="Z97" s="175">
        <f>DANDI!H36</f>
        <v>0</v>
      </c>
      <c r="AA97" s="175"/>
      <c r="AB97" s="175">
        <f>DANDI!I$36</f>
        <v>0</v>
      </c>
      <c r="AC97" s="175"/>
      <c r="AD97" s="175">
        <f>DANDI!J$36</f>
        <v>0</v>
      </c>
      <c r="AE97" s="175"/>
      <c r="AF97" s="175"/>
      <c r="AG97" s="175"/>
      <c r="AH97" s="175"/>
      <c r="AI97" s="175"/>
      <c r="AJ97" s="175"/>
      <c r="AK97" s="175"/>
      <c r="AL97" s="175"/>
      <c r="AM97" s="187"/>
    </row>
    <row r="98" spans="1:39" x14ac:dyDescent="0.2">
      <c r="A98" s="197"/>
      <c r="B98" s="198" t="s">
        <v>522</v>
      </c>
      <c r="C98" s="198"/>
      <c r="D98" s="200" t="s">
        <v>653</v>
      </c>
      <c r="E98" s="152" t="s">
        <v>529</v>
      </c>
      <c r="F98" s="211" t="s">
        <v>116</v>
      </c>
      <c r="G98" s="197" t="s">
        <v>67</v>
      </c>
      <c r="H98" s="214"/>
      <c r="I98" s="197"/>
      <c r="J98" s="212"/>
      <c r="K98" s="212"/>
      <c r="L98" s="197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>
        <f>'Hidya Anindyati'!G21</f>
        <v>5500000</v>
      </c>
      <c r="X98" s="175">
        <f>'Hidya Anindyati'!G36</f>
        <v>0</v>
      </c>
      <c r="Y98" s="175">
        <f>'Hidya Anindyati'!H21</f>
        <v>15000000</v>
      </c>
      <c r="Z98" s="175">
        <f>'Hidya Anindyati'!H36</f>
        <v>0</v>
      </c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87"/>
    </row>
    <row r="99" spans="1:39" x14ac:dyDescent="0.2">
      <c r="A99" s="197"/>
      <c r="B99" s="198" t="s">
        <v>522</v>
      </c>
      <c r="C99" s="198"/>
      <c r="D99" s="200" t="s">
        <v>656</v>
      </c>
      <c r="E99" s="152" t="s">
        <v>529</v>
      </c>
      <c r="F99" s="211" t="s">
        <v>116</v>
      </c>
      <c r="G99" s="197" t="s">
        <v>67</v>
      </c>
      <c r="H99" s="214"/>
      <c r="I99" s="197"/>
      <c r="J99" s="212"/>
      <c r="K99" s="212"/>
      <c r="L99" s="197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>
        <f>'Gali Ayuningtyas'!G21</f>
        <v>272724</v>
      </c>
      <c r="X99" s="175">
        <f>'Gali Ayuningtyas'!G36</f>
        <v>0</v>
      </c>
      <c r="Y99" s="175">
        <f>'Gali Ayuningtyas'!H21</f>
        <v>204543</v>
      </c>
      <c r="Z99" s="175">
        <f>'Gali Ayuningtyas'!H36</f>
        <v>0</v>
      </c>
      <c r="AA99" s="175">
        <f>'Gali Ayuningtyas'!I$21</f>
        <v>545448</v>
      </c>
      <c r="AB99" s="175">
        <f>'Gali Ayuningtyas'!I$36</f>
        <v>0</v>
      </c>
      <c r="AC99" s="175">
        <f>'Gali Ayuningtyas'!J$21</f>
        <v>409086</v>
      </c>
      <c r="AD99" s="175">
        <f>'Gali Ayuningtyas'!J$36</f>
        <v>0</v>
      </c>
      <c r="AE99" s="175">
        <f>'Gali Ayuningtyas'!K$21</f>
        <v>955000</v>
      </c>
      <c r="AF99" s="175">
        <f>'Gali Ayuningtyas'!K$36</f>
        <v>0</v>
      </c>
      <c r="AG99" s="175">
        <f>'Gali Ayuningtyas'!L$21</f>
        <v>955000</v>
      </c>
      <c r="AH99" s="175">
        <f>'Gali Ayuningtyas'!L$36</f>
        <v>0</v>
      </c>
      <c r="AI99" s="175">
        <f>'Gali Ayuningtyas'!M$21</f>
        <v>0</v>
      </c>
      <c r="AJ99" s="175">
        <f>'Gali Ayuningtyas'!M$36</f>
        <v>0</v>
      </c>
      <c r="AK99" s="175">
        <f>'Gali Ayuningtyas'!N$21</f>
        <v>0</v>
      </c>
      <c r="AL99" s="175">
        <f>'Gali Ayuningtyas'!N$36</f>
        <v>0</v>
      </c>
      <c r="AM99" s="187"/>
    </row>
    <row r="100" spans="1:39" x14ac:dyDescent="0.2">
      <c r="A100" s="197"/>
      <c r="B100" s="198" t="s">
        <v>522</v>
      </c>
      <c r="C100" s="198"/>
      <c r="D100" s="200" t="s">
        <v>655</v>
      </c>
      <c r="E100" s="152" t="s">
        <v>529</v>
      </c>
      <c r="F100" s="211" t="s">
        <v>116</v>
      </c>
      <c r="G100" s="197" t="s">
        <v>67</v>
      </c>
      <c r="H100" s="214"/>
      <c r="I100" s="197"/>
      <c r="J100" s="212"/>
      <c r="K100" s="212"/>
      <c r="L100" s="197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>
        <f>'Hayyu Nurrafi'!G21</f>
        <v>1090896</v>
      </c>
      <c r="X100" s="175">
        <f>'Hayyu Nurrafi'!G36</f>
        <v>0</v>
      </c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87"/>
    </row>
    <row r="101" spans="1:39" x14ac:dyDescent="0.2">
      <c r="A101" s="197"/>
      <c r="B101" s="198" t="s">
        <v>522</v>
      </c>
      <c r="C101" s="198"/>
      <c r="D101" s="200" t="s">
        <v>665</v>
      </c>
      <c r="E101" s="152" t="s">
        <v>529</v>
      </c>
      <c r="F101" s="211" t="s">
        <v>116</v>
      </c>
      <c r="G101" s="197" t="s">
        <v>67</v>
      </c>
      <c r="H101" s="214"/>
      <c r="I101" s="197"/>
      <c r="J101" s="212"/>
      <c r="K101" s="212"/>
      <c r="L101" s="197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5">
        <f>'Heni Dwi Riyanti'!J21</f>
        <v>454545</v>
      </c>
      <c r="AD101" s="175">
        <f>'Heni Dwi Riyanti'!J36</f>
        <v>0</v>
      </c>
      <c r="AE101" s="175">
        <f>'Heni Dwi Riyanti'!K$21</f>
        <v>2300000</v>
      </c>
      <c r="AF101" s="175">
        <f>'Heni Dwi Riyanti'!K$36</f>
        <v>0</v>
      </c>
      <c r="AG101" s="175">
        <f>'Heni Dwi Riyanti'!L$21</f>
        <v>2300000</v>
      </c>
      <c r="AH101" s="175">
        <f>'Heni Dwi Riyanti'!L$36</f>
        <v>0</v>
      </c>
      <c r="AI101" s="175">
        <f>'Heni Dwi Riyanti'!M$21</f>
        <v>2250000</v>
      </c>
      <c r="AJ101" s="175">
        <f>'Heni Dwi Riyanti'!M$36</f>
        <v>0</v>
      </c>
      <c r="AK101" s="175">
        <f>'Heni Dwi Riyanti'!N$21</f>
        <v>2200000</v>
      </c>
      <c r="AL101" s="175">
        <f>'Heni Dwi Riyanti'!N$36</f>
        <v>0</v>
      </c>
      <c r="AM101" s="187"/>
    </row>
    <row r="102" spans="1:39" x14ac:dyDescent="0.2">
      <c r="A102" s="197"/>
      <c r="B102" s="198" t="s">
        <v>522</v>
      </c>
      <c r="C102" s="198"/>
      <c r="D102" s="200" t="s">
        <v>666</v>
      </c>
      <c r="E102" s="152" t="s">
        <v>529</v>
      </c>
      <c r="F102" s="211" t="s">
        <v>148</v>
      </c>
      <c r="G102" s="197" t="s">
        <v>64</v>
      </c>
      <c r="H102" s="214"/>
      <c r="I102" s="197"/>
      <c r="J102" s="212"/>
      <c r="K102" s="212"/>
      <c r="L102" s="197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>
        <f>'Mohammad Agus'!J21</f>
        <v>340909</v>
      </c>
      <c r="AD102" s="175">
        <f>'Mohammad Agus'!J36</f>
        <v>0</v>
      </c>
      <c r="AE102" s="175">
        <f>'Mohammad Agus'!K$21</f>
        <v>1500000</v>
      </c>
      <c r="AF102" s="175">
        <f>'Mohammad Agus'!K$36</f>
        <v>0</v>
      </c>
      <c r="AG102" s="175">
        <f>'Mohammad Agus'!L$21</f>
        <v>1500000</v>
      </c>
      <c r="AH102" s="175">
        <f>'Mohammad Agus'!L$36</f>
        <v>0</v>
      </c>
      <c r="AI102" s="175">
        <f>'Mohammad Agus'!M$21</f>
        <v>1500000</v>
      </c>
      <c r="AJ102" s="175">
        <f>'Mohammad Agus'!M$36</f>
        <v>0</v>
      </c>
      <c r="AK102" s="175">
        <f>'Mohammad Agus'!N$21</f>
        <v>1500000</v>
      </c>
      <c r="AL102" s="175">
        <f>'Mohammad Agus'!N$36</f>
        <v>0</v>
      </c>
      <c r="AM102" s="187"/>
    </row>
    <row r="103" spans="1:39" x14ac:dyDescent="0.2">
      <c r="A103" s="197"/>
      <c r="B103" s="198" t="s">
        <v>522</v>
      </c>
      <c r="C103" s="198"/>
      <c r="D103" s="200" t="s">
        <v>693</v>
      </c>
      <c r="E103" s="152" t="s">
        <v>529</v>
      </c>
      <c r="F103" s="211" t="s">
        <v>148</v>
      </c>
      <c r="G103" s="197" t="s">
        <v>64</v>
      </c>
      <c r="H103" s="214"/>
      <c r="I103" s="197"/>
      <c r="J103" s="212"/>
      <c r="K103" s="212"/>
      <c r="L103" s="197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>
        <f>'Septian Tri Saputro'!O21</f>
        <v>4500000</v>
      </c>
      <c r="AL103" s="175">
        <f>'Septian Tri Saputro'!O36</f>
        <v>0</v>
      </c>
      <c r="AM103" s="187"/>
    </row>
    <row r="104" spans="1:39" x14ac:dyDescent="0.2">
      <c r="A104" s="197"/>
      <c r="B104" s="198"/>
      <c r="C104" s="198"/>
      <c r="D104" s="200"/>
      <c r="E104" s="152"/>
      <c r="F104" s="211"/>
      <c r="G104" s="197"/>
      <c r="H104" s="214"/>
      <c r="I104" s="197"/>
      <c r="J104" s="212"/>
      <c r="K104" s="212"/>
      <c r="L104" s="197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87"/>
    </row>
    <row r="105" spans="1:39" x14ac:dyDescent="0.2">
      <c r="A105" s="197"/>
      <c r="B105" s="198"/>
      <c r="C105" s="198"/>
      <c r="D105" s="200"/>
      <c r="E105" s="152"/>
      <c r="F105" s="211"/>
      <c r="G105" s="197"/>
      <c r="H105" s="214"/>
      <c r="I105" s="197"/>
      <c r="J105" s="212"/>
      <c r="K105" s="212"/>
      <c r="L105" s="197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87"/>
    </row>
    <row r="106" spans="1:39" x14ac:dyDescent="0.2">
      <c r="A106" s="197"/>
      <c r="B106" s="198"/>
      <c r="C106" s="198"/>
      <c r="D106" s="200"/>
      <c r="E106" s="152"/>
      <c r="F106" s="211"/>
      <c r="G106" s="197"/>
      <c r="H106" s="214"/>
      <c r="I106" s="197"/>
      <c r="J106" s="212"/>
      <c r="K106" s="212"/>
      <c r="L106" s="197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87"/>
    </row>
    <row r="107" spans="1:39" x14ac:dyDescent="0.2">
      <c r="A107" s="197"/>
      <c r="B107" s="198"/>
      <c r="C107" s="198"/>
      <c r="D107" s="200"/>
      <c r="E107" s="152"/>
      <c r="F107" s="211"/>
      <c r="G107" s="197"/>
      <c r="H107" s="214"/>
      <c r="I107" s="197"/>
      <c r="J107" s="212"/>
      <c r="K107" s="212"/>
      <c r="L107" s="197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87"/>
    </row>
    <row r="108" spans="1:39" x14ac:dyDescent="0.2">
      <c r="A108" s="200"/>
      <c r="B108" s="200"/>
      <c r="C108" s="200"/>
      <c r="D108" s="222" t="s">
        <v>62</v>
      </c>
      <c r="E108" s="223"/>
      <c r="F108" s="222"/>
      <c r="G108" s="224"/>
      <c r="H108" s="225"/>
      <c r="I108" s="226"/>
      <c r="J108" s="227"/>
      <c r="K108" s="227"/>
      <c r="L108" s="228"/>
      <c r="M108" s="229">
        <f t="shared" ref="M108:Z108" si="0">SUM(M5:M107)</f>
        <v>255431818.18181819</v>
      </c>
      <c r="N108" s="229">
        <f t="shared" si="0"/>
        <v>4557750</v>
      </c>
      <c r="O108" s="229">
        <f t="shared" si="0"/>
        <v>222488636.36363637</v>
      </c>
      <c r="P108" s="229">
        <f t="shared" si="0"/>
        <v>3594050</v>
      </c>
      <c r="Q108" s="229">
        <f t="shared" si="0"/>
        <v>288165000</v>
      </c>
      <c r="R108" s="229">
        <f t="shared" si="0"/>
        <v>7565695</v>
      </c>
      <c r="S108" s="229">
        <f t="shared" si="0"/>
        <v>241750000</v>
      </c>
      <c r="T108" s="229">
        <f t="shared" si="0"/>
        <v>6606331.666666667</v>
      </c>
      <c r="U108" s="229">
        <f t="shared" si="0"/>
        <v>151650000</v>
      </c>
      <c r="V108" s="229">
        <f t="shared" si="0"/>
        <v>6075520</v>
      </c>
      <c r="W108" s="229">
        <f>SUM(W5:W107)</f>
        <v>266767000</v>
      </c>
      <c r="X108" s="229">
        <f t="shared" si="0"/>
        <v>5831369.166666667</v>
      </c>
      <c r="Y108" s="229">
        <f t="shared" si="0"/>
        <v>229404543</v>
      </c>
      <c r="Z108" s="229">
        <f t="shared" si="0"/>
        <v>2743329.1666666665</v>
      </c>
      <c r="AA108" s="229">
        <f>SUM(AA5:AA107)</f>
        <v>203895448</v>
      </c>
      <c r="AB108" s="229">
        <f>SUM(AB5:AB90)</f>
        <v>2251118.333333333</v>
      </c>
      <c r="AC108" s="229">
        <f>SUM(AC5:AC106)</f>
        <v>249504540</v>
      </c>
      <c r="AD108" s="229">
        <f>SUM(AD5:AD106)</f>
        <v>4427250</v>
      </c>
      <c r="AE108" s="229">
        <f>SUM(AE5:AE107)</f>
        <v>273100000</v>
      </c>
      <c r="AF108" s="229">
        <f t="shared" ref="AF108:AL108" si="1">SUM(AF5:AF107)</f>
        <v>6906544.166666667</v>
      </c>
      <c r="AG108" s="229">
        <f t="shared" si="1"/>
        <v>246644000</v>
      </c>
      <c r="AH108" s="229">
        <f t="shared" si="1"/>
        <v>4634962.5</v>
      </c>
      <c r="AI108" s="229">
        <f t="shared" si="1"/>
        <v>199700000</v>
      </c>
      <c r="AJ108" s="229">
        <f t="shared" si="1"/>
        <v>2678180</v>
      </c>
      <c r="AK108" s="229">
        <f t="shared" si="1"/>
        <v>212226727</v>
      </c>
      <c r="AL108" s="229">
        <f t="shared" si="1"/>
        <v>5495880</v>
      </c>
      <c r="AM108" s="187"/>
    </row>
    <row r="109" spans="1:39" x14ac:dyDescent="0.2">
      <c r="A109" s="181"/>
      <c r="D109" s="230" t="s">
        <v>79</v>
      </c>
      <c r="F109" s="231"/>
      <c r="H109" s="232"/>
      <c r="I109" s="232"/>
      <c r="M109" s="187">
        <f>M108+O108+Q108+S108+W108+Y108+AA108+AC108+AE108+AG108+AI108+AK108+U108</f>
        <v>3040727712.5454545</v>
      </c>
      <c r="N109" s="187"/>
      <c r="U109" s="187">
        <f>U108+W108</f>
        <v>418417000</v>
      </c>
      <c r="V109" s="187">
        <f>T108+V108</f>
        <v>12681851.666666668</v>
      </c>
      <c r="W109" s="187"/>
    </row>
    <row r="110" spans="1:39" ht="38.25" x14ac:dyDescent="0.2">
      <c r="A110" s="181"/>
      <c r="D110" s="233" t="s">
        <v>85</v>
      </c>
      <c r="F110" s="231"/>
      <c r="H110" s="182"/>
      <c r="I110" s="182"/>
      <c r="M110" s="181">
        <f>'[1]Pegawai Tidak Tetap'!E30</f>
        <v>0</v>
      </c>
      <c r="N110" s="234" t="s">
        <v>87</v>
      </c>
      <c r="O110" s="235">
        <f>N108+P108+R108+T108+V109+Z108+AB108+AD108+AF108+AH108+AJ108+AL108</f>
        <v>64142942.5</v>
      </c>
      <c r="P110" s="236" t="s">
        <v>88</v>
      </c>
      <c r="Q110" s="237">
        <v>0</v>
      </c>
      <c r="R110" s="238" t="s">
        <v>445</v>
      </c>
      <c r="S110" s="187">
        <f>O110-Q110</f>
        <v>64142942.5</v>
      </c>
      <c r="AC110" s="187">
        <f>AC108-AC109</f>
        <v>249504540</v>
      </c>
      <c r="AK110" s="239" t="s">
        <v>89</v>
      </c>
      <c r="AL110" s="240">
        <f>AL108-S110</f>
        <v>-58647062.5</v>
      </c>
    </row>
    <row r="111" spans="1:39" x14ac:dyDescent="0.2">
      <c r="A111" s="181"/>
      <c r="D111" s="230" t="s">
        <v>86</v>
      </c>
      <c r="F111" s="231"/>
      <c r="H111" s="182"/>
      <c r="I111" s="182"/>
      <c r="M111" s="235">
        <f>SUM(M109:M110)</f>
        <v>3040727712.5454545</v>
      </c>
      <c r="N111" s="181"/>
    </row>
    <row r="112" spans="1:39" x14ac:dyDescent="0.2">
      <c r="A112" s="181"/>
      <c r="D112" s="230" t="s">
        <v>83</v>
      </c>
      <c r="F112" s="231"/>
      <c r="H112" s="182"/>
      <c r="I112" s="182"/>
      <c r="M112" s="241"/>
      <c r="N112" s="241">
        <v>0</v>
      </c>
      <c r="P112" s="241">
        <v>0</v>
      </c>
      <c r="R112" s="241">
        <v>0</v>
      </c>
      <c r="T112" s="241">
        <v>0</v>
      </c>
      <c r="V112" s="241">
        <v>0</v>
      </c>
      <c r="Z112" s="241">
        <v>0</v>
      </c>
      <c r="AB112" s="241">
        <v>0</v>
      </c>
      <c r="AD112" s="241">
        <v>0</v>
      </c>
      <c r="AF112" s="241">
        <v>0</v>
      </c>
      <c r="AH112" s="241">
        <v>0</v>
      </c>
      <c r="AJ112" s="241">
        <v>0</v>
      </c>
      <c r="AL112" s="241">
        <v>0</v>
      </c>
    </row>
    <row r="113" spans="4:37" s="181" customFormat="1" x14ac:dyDescent="0.2">
      <c r="D113" s="230" t="s">
        <v>84</v>
      </c>
      <c r="E113" s="182"/>
      <c r="F113" s="231"/>
      <c r="H113" s="182"/>
      <c r="I113" s="182"/>
      <c r="J113" s="185"/>
      <c r="K113" s="185"/>
      <c r="L113" s="182"/>
      <c r="M113" s="187"/>
      <c r="O113" s="187"/>
      <c r="Q113" s="187"/>
      <c r="S113" s="187"/>
      <c r="U113" s="187"/>
      <c r="W113" s="187"/>
      <c r="Y113" s="187"/>
      <c r="AA113" s="187"/>
      <c r="AC113" s="187"/>
      <c r="AE113" s="187"/>
      <c r="AG113" s="187"/>
      <c r="AI113" s="187"/>
      <c r="AK113" s="187"/>
    </row>
    <row r="114" spans="4:37" s="181" customFormat="1" x14ac:dyDescent="0.2">
      <c r="D114" s="230"/>
      <c r="E114" s="183"/>
      <c r="F114" s="231"/>
      <c r="H114" s="182"/>
      <c r="I114" s="182"/>
      <c r="J114" s="242"/>
      <c r="K114" s="242"/>
      <c r="L114" s="243"/>
      <c r="N114" s="187"/>
      <c r="P114" s="187"/>
      <c r="R114" s="187"/>
      <c r="T114" s="187"/>
      <c r="V114" s="187"/>
      <c r="Z114" s="187"/>
      <c r="AB114" s="187"/>
      <c r="AD114" s="187"/>
      <c r="AF114" s="187"/>
      <c r="AH114" s="187"/>
      <c r="AJ114" s="187"/>
    </row>
    <row r="115" spans="4:37" s="181" customFormat="1" x14ac:dyDescent="0.2">
      <c r="D115" s="230"/>
      <c r="E115" s="183"/>
      <c r="F115" s="231"/>
      <c r="H115" s="182"/>
      <c r="I115" s="182"/>
      <c r="J115" s="242"/>
      <c r="K115" s="242"/>
      <c r="L115" s="243"/>
      <c r="M115" s="187"/>
    </row>
    <row r="117" spans="4:37" x14ac:dyDescent="0.2">
      <c r="AC117" s="187"/>
    </row>
  </sheetData>
  <autoFilter ref="A4:AM113" xr:uid="{00000000-0009-0000-0000-000001000000}"/>
  <sortState xmlns:xlrd2="http://schemas.microsoft.com/office/spreadsheetml/2017/richdata2" ref="A64:AM70">
    <sortCondition ref="D64:D70"/>
  </sortState>
  <mergeCells count="23">
    <mergeCell ref="A3:A4"/>
    <mergeCell ref="AC3:AD3"/>
    <mergeCell ref="AE3:AF3"/>
    <mergeCell ref="AG3:AH3"/>
    <mergeCell ref="AI3:AJ3"/>
    <mergeCell ref="F3:F4"/>
    <mergeCell ref="D3:D4"/>
    <mergeCell ref="E3:E4"/>
    <mergeCell ref="J3:J4"/>
    <mergeCell ref="K3:K4"/>
    <mergeCell ref="AK3:AL3"/>
    <mergeCell ref="AA3:AB3"/>
    <mergeCell ref="B3:B4"/>
    <mergeCell ref="C3:C4"/>
    <mergeCell ref="G3:G4"/>
    <mergeCell ref="H3:I3"/>
    <mergeCell ref="M3:N3"/>
    <mergeCell ref="O3:P3"/>
    <mergeCell ref="Q3:R3"/>
    <mergeCell ref="S3:T3"/>
    <mergeCell ref="W3:X3"/>
    <mergeCell ref="Y3:Z3"/>
    <mergeCell ref="U3:V3"/>
  </mergeCells>
  <phoneticPr fontId="16" type="noConversion"/>
  <pageMargins left="0.7" right="0.7" top="0.75" bottom="0.75" header="0.3" footer="0.3"/>
  <pageSetup paperSize="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8"/>
  <dimension ref="A1:V59"/>
  <sheetViews>
    <sheetView topLeftCell="C1" zoomScale="56" workbookViewId="0">
      <selection activeCell="P33" sqref="P3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174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92">
        <v>4000000</v>
      </c>
      <c r="D13" s="92">
        <v>4000000</v>
      </c>
      <c r="E13" s="162">
        <v>4000000</v>
      </c>
      <c r="F13" s="92">
        <v>4000000</v>
      </c>
      <c r="G13" s="92">
        <v>4000000</v>
      </c>
      <c r="H13" s="92">
        <v>4050000</v>
      </c>
      <c r="I13" s="92">
        <v>4000000</v>
      </c>
      <c r="J13" s="92">
        <v>4000000</v>
      </c>
      <c r="K13" s="92">
        <v>4000000</v>
      </c>
      <c r="L13" s="92">
        <v>4000000</v>
      </c>
      <c r="M13" s="92">
        <v>4000000</v>
      </c>
      <c r="N13" s="92">
        <v>4000000</v>
      </c>
      <c r="O13" s="32">
        <f>SUM(C13:N13)</f>
        <v>48050000</v>
      </c>
      <c r="P13" s="123">
        <f t="shared" ref="P13:P18" si="1">Q13</f>
        <v>48000000</v>
      </c>
      <c r="Q13" s="123">
        <f>F13*12</f>
        <v>48000000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>
        <v>2870000</v>
      </c>
      <c r="K16" s="92"/>
      <c r="L16" s="92"/>
      <c r="M16" s="92"/>
      <c r="N16" s="92"/>
      <c r="O16" s="32">
        <f>SUM(C16:N16)</f>
        <v>2870000</v>
      </c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4000000</v>
      </c>
      <c r="D19" s="37">
        <f t="shared" si="3"/>
        <v>4000000</v>
      </c>
      <c r="E19" s="37">
        <f t="shared" si="3"/>
        <v>4000000</v>
      </c>
      <c r="F19" s="37">
        <f t="shared" si="3"/>
        <v>4000000</v>
      </c>
      <c r="G19" s="37">
        <f t="shared" si="3"/>
        <v>4000000</v>
      </c>
      <c r="H19" s="37">
        <f t="shared" si="3"/>
        <v>4050000</v>
      </c>
      <c r="I19" s="37">
        <f t="shared" si="3"/>
        <v>4000000</v>
      </c>
      <c r="J19" s="37">
        <f t="shared" si="3"/>
        <v>6870000</v>
      </c>
      <c r="K19" s="37">
        <f t="shared" si="3"/>
        <v>4000000</v>
      </c>
      <c r="L19" s="37">
        <f t="shared" si="3"/>
        <v>4000000</v>
      </c>
      <c r="M19" s="37">
        <f t="shared" si="3"/>
        <v>4000000</v>
      </c>
      <c r="N19" s="37">
        <f t="shared" si="3"/>
        <v>4000000</v>
      </c>
      <c r="O19" s="38">
        <f>SUM(O13:O18)</f>
        <v>50920000</v>
      </c>
      <c r="P19" s="103">
        <f>SUM(P13:P18)</f>
        <v>48000000</v>
      </c>
      <c r="Q19" s="103">
        <f>SUM(Q13:Q18)</f>
        <v>48000000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2000000</v>
      </c>
      <c r="P20" s="110">
        <v>2000000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4000000</v>
      </c>
      <c r="D21" s="259">
        <f t="shared" ref="D21:N21" si="4">D19+D20</f>
        <v>4000000</v>
      </c>
      <c r="E21" s="259">
        <f t="shared" si="4"/>
        <v>4000000</v>
      </c>
      <c r="F21" s="259">
        <f t="shared" si="4"/>
        <v>4000000</v>
      </c>
      <c r="G21" s="259">
        <f>G19+G20</f>
        <v>4000000</v>
      </c>
      <c r="H21" s="259">
        <f t="shared" si="4"/>
        <v>4050000</v>
      </c>
      <c r="I21" s="259">
        <f t="shared" si="4"/>
        <v>4000000</v>
      </c>
      <c r="J21" s="259">
        <f t="shared" si="4"/>
        <v>6870000</v>
      </c>
      <c r="K21" s="259">
        <f t="shared" si="4"/>
        <v>4000000</v>
      </c>
      <c r="L21" s="259">
        <f t="shared" si="4"/>
        <v>4000000</v>
      </c>
      <c r="M21" s="259">
        <f t="shared" si="4"/>
        <v>4000000</v>
      </c>
      <c r="N21" s="259">
        <f t="shared" si="4"/>
        <v>4000000</v>
      </c>
      <c r="O21" s="259">
        <f>O19+O20</f>
        <v>52920000</v>
      </c>
      <c r="P21" s="103">
        <f>P19+P20</f>
        <v>50000000</v>
      </c>
      <c r="Q21" s="103">
        <f>Q19+Q20</f>
        <v>48000000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200000</v>
      </c>
      <c r="D23" s="257">
        <f t="shared" ref="D23:N23" si="5">IF(D21*5%&lt;500000,D21*5%,500000)</f>
        <v>200000</v>
      </c>
      <c r="E23" s="257">
        <f t="shared" si="5"/>
        <v>200000</v>
      </c>
      <c r="F23" s="257">
        <f t="shared" si="5"/>
        <v>200000</v>
      </c>
      <c r="G23" s="257">
        <f>IF(G21*5%&lt;500000,G21*5%,500000)</f>
        <v>200000</v>
      </c>
      <c r="H23" s="257">
        <f t="shared" si="5"/>
        <v>202500</v>
      </c>
      <c r="I23" s="257">
        <f t="shared" si="5"/>
        <v>200000</v>
      </c>
      <c r="J23" s="257">
        <f t="shared" si="5"/>
        <v>343500</v>
      </c>
      <c r="K23" s="257">
        <f t="shared" si="5"/>
        <v>200000</v>
      </c>
      <c r="L23" s="257">
        <f t="shared" si="5"/>
        <v>200000</v>
      </c>
      <c r="M23" s="257">
        <f t="shared" si="5"/>
        <v>200000</v>
      </c>
      <c r="N23" s="257">
        <f t="shared" si="5"/>
        <v>200000</v>
      </c>
      <c r="O23" s="257">
        <f>IF(O21*5%&lt;6000000,O21*5%,6000000)</f>
        <v>2646000</v>
      </c>
      <c r="P23" s="110">
        <f>IF(P21*5%&lt;6000000,P21*5%,6000000)</f>
        <v>2500000</v>
      </c>
      <c r="Q23" s="110">
        <f>IF(Q21*5%&lt;6000000,Q21*5%,6000000)</f>
        <v>2400000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200000</v>
      </c>
      <c r="D26" s="257">
        <f t="shared" si="6"/>
        <v>200000</v>
      </c>
      <c r="E26" s="257">
        <f t="shared" si="6"/>
        <v>200000</v>
      </c>
      <c r="F26" s="257">
        <f t="shared" si="6"/>
        <v>200000</v>
      </c>
      <c r="G26" s="257">
        <f>SUM(G23:G25)</f>
        <v>200000</v>
      </c>
      <c r="H26" s="257">
        <f t="shared" si="6"/>
        <v>202500</v>
      </c>
      <c r="I26" s="257">
        <f t="shared" si="6"/>
        <v>200000</v>
      </c>
      <c r="J26" s="257">
        <f t="shared" si="6"/>
        <v>343500</v>
      </c>
      <c r="K26" s="257">
        <f t="shared" si="6"/>
        <v>200000</v>
      </c>
      <c r="L26" s="257">
        <f t="shared" si="6"/>
        <v>200000</v>
      </c>
      <c r="M26" s="257">
        <f t="shared" si="6"/>
        <v>200000</v>
      </c>
      <c r="N26" s="257">
        <f t="shared" si="6"/>
        <v>200000</v>
      </c>
      <c r="O26" s="263">
        <f>SUM(O22:O25)</f>
        <v>2646000</v>
      </c>
      <c r="P26" s="103">
        <f>SUM(P23:P25)</f>
        <v>2500000</v>
      </c>
      <c r="Q26" s="103">
        <f>SUM(Q23:Q25)</f>
        <v>2400000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3800000</v>
      </c>
      <c r="D28" s="255">
        <f t="shared" ref="D28:O28" si="7">D21-D26</f>
        <v>3800000</v>
      </c>
      <c r="E28" s="255">
        <f t="shared" si="7"/>
        <v>3800000</v>
      </c>
      <c r="F28" s="255">
        <f t="shared" si="7"/>
        <v>3800000</v>
      </c>
      <c r="G28" s="255">
        <f>G21-G26</f>
        <v>3800000</v>
      </c>
      <c r="H28" s="255">
        <f t="shared" si="7"/>
        <v>3847500</v>
      </c>
      <c r="I28" s="255">
        <f t="shared" si="7"/>
        <v>3800000</v>
      </c>
      <c r="J28" s="255">
        <f t="shared" si="7"/>
        <v>6526500</v>
      </c>
      <c r="K28" s="255">
        <f t="shared" si="7"/>
        <v>3800000</v>
      </c>
      <c r="L28" s="255">
        <f t="shared" si="7"/>
        <v>3800000</v>
      </c>
      <c r="M28" s="255">
        <f t="shared" si="7"/>
        <v>3800000</v>
      </c>
      <c r="N28" s="255">
        <f t="shared" si="7"/>
        <v>3800000</v>
      </c>
      <c r="O28" s="255">
        <f t="shared" si="7"/>
        <v>50274000</v>
      </c>
      <c r="P28" s="103">
        <f>P21-P26</f>
        <v>47500000</v>
      </c>
      <c r="Q28" s="103">
        <f>Q21-Q26</f>
        <v>45600000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45600000</v>
      </c>
      <c r="D30" s="253">
        <f>SUM(C28:D28)*D10/D11</f>
        <v>45600000</v>
      </c>
      <c r="E30" s="253">
        <f>SUM(C28:E28)*E10/E11</f>
        <v>45600000</v>
      </c>
      <c r="F30" s="253">
        <f>SUM(C28:F28)*F10/F11</f>
        <v>45600000</v>
      </c>
      <c r="G30" s="253">
        <f>SUM(C28:G28)*G10/G11</f>
        <v>45600000</v>
      </c>
      <c r="H30" s="253">
        <f>SUM(C28:H28)*H10/H11</f>
        <v>45695000</v>
      </c>
      <c r="I30" s="253">
        <f>SUM(C28:I28)*I10/I11</f>
        <v>45681428.571428575</v>
      </c>
      <c r="J30" s="253">
        <f>SUM(C28:J28)*J10/J11</f>
        <v>49761000</v>
      </c>
      <c r="K30" s="253">
        <f>SUM(C28:K28)*K10/K11</f>
        <v>49298666.666666664</v>
      </c>
      <c r="L30" s="253">
        <f>SUM(C28:L28)*L10/L11</f>
        <v>48928800</v>
      </c>
      <c r="M30" s="253">
        <f>SUM(C28:M28)*M10/M11</f>
        <v>48626181.81818182</v>
      </c>
      <c r="N30" s="253">
        <f>SUM(C28:N28)*N10/N11</f>
        <v>48374000</v>
      </c>
      <c r="O30" s="254">
        <f>O28</f>
        <v>50274000</v>
      </c>
      <c r="P30" s="108">
        <f>P28</f>
        <v>47500000</v>
      </c>
      <c r="Q30" s="108">
        <f>Q28</f>
        <v>45600000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54000000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P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4000000</v>
      </c>
      <c r="D41" s="50">
        <f t="shared" si="14"/>
        <v>4000000</v>
      </c>
      <c r="E41" s="50">
        <f t="shared" si="14"/>
        <v>4000000</v>
      </c>
      <c r="F41" s="50">
        <f t="shared" si="14"/>
        <v>4000000</v>
      </c>
      <c r="G41" s="50">
        <f t="shared" si="14"/>
        <v>4000000</v>
      </c>
      <c r="H41" s="50">
        <f t="shared" si="14"/>
        <v>4050000</v>
      </c>
      <c r="I41" s="50">
        <f t="shared" si="14"/>
        <v>4000000</v>
      </c>
      <c r="J41" s="50">
        <f t="shared" si="14"/>
        <v>6870000</v>
      </c>
      <c r="K41" s="50">
        <f>K21-K25-K36</f>
        <v>4000000</v>
      </c>
      <c r="L41" s="50">
        <f>L21-L25-L36</f>
        <v>4000000</v>
      </c>
      <c r="M41" s="50">
        <f>M21-M25-M36</f>
        <v>4000000</v>
      </c>
      <c r="N41" s="50">
        <f>N21-N25-N36</f>
        <v>4000000</v>
      </c>
      <c r="O41" s="50">
        <f>O21-O25-O36-O38</f>
        <v>52920000</v>
      </c>
      <c r="P41" s="126">
        <f>P21-P25-P36</f>
        <v>50000000</v>
      </c>
      <c r="Q41" s="126">
        <f>Q21-Q25-Q36</f>
        <v>48000000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1300-000000000000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43"/>
  <dimension ref="A1:V59"/>
  <sheetViews>
    <sheetView topLeftCell="C1" zoomScale="68" workbookViewId="0">
      <selection activeCell="P33" sqref="P33:Q3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439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2000000</v>
      </c>
      <c r="D13" s="92">
        <v>2000000</v>
      </c>
      <c r="E13" s="162">
        <v>2000000</v>
      </c>
      <c r="F13" s="92">
        <v>2000000</v>
      </c>
      <c r="G13" s="92">
        <v>2000000</v>
      </c>
      <c r="H13" s="92">
        <v>2000000</v>
      </c>
      <c r="I13" s="92">
        <v>2000000</v>
      </c>
      <c r="J13" s="92">
        <v>2000000</v>
      </c>
      <c r="K13" s="92">
        <v>2000000</v>
      </c>
      <c r="L13" s="92">
        <v>2000000</v>
      </c>
      <c r="M13" s="92">
        <v>2000000</v>
      </c>
      <c r="N13" s="92">
        <v>2000000</v>
      </c>
      <c r="O13" s="32">
        <f>SUM(C13:N13)</f>
        <v>24000000</v>
      </c>
      <c r="P13" s="123">
        <f t="shared" ref="P13:P18" si="1">Q13</f>
        <v>24000000</v>
      </c>
      <c r="Q13" s="123">
        <f>F13*12</f>
        <v>24000000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2000000</v>
      </c>
      <c r="D19" s="37">
        <f t="shared" si="3"/>
        <v>2000000</v>
      </c>
      <c r="E19" s="37">
        <f t="shared" si="3"/>
        <v>2000000</v>
      </c>
      <c r="F19" s="37">
        <f t="shared" si="3"/>
        <v>2000000</v>
      </c>
      <c r="G19" s="37">
        <f t="shared" si="3"/>
        <v>2000000</v>
      </c>
      <c r="H19" s="37">
        <f t="shared" si="3"/>
        <v>2000000</v>
      </c>
      <c r="I19" s="37">
        <f t="shared" si="3"/>
        <v>2000000</v>
      </c>
      <c r="J19" s="37">
        <f t="shared" si="3"/>
        <v>2000000</v>
      </c>
      <c r="K19" s="37">
        <f t="shared" si="3"/>
        <v>2000000</v>
      </c>
      <c r="L19" s="37">
        <f t="shared" si="3"/>
        <v>2000000</v>
      </c>
      <c r="M19" s="37">
        <f t="shared" si="3"/>
        <v>2000000</v>
      </c>
      <c r="N19" s="37">
        <f t="shared" si="3"/>
        <v>2000000</v>
      </c>
      <c r="O19" s="38">
        <f>SUM(O13:O18)</f>
        <v>24000000</v>
      </c>
      <c r="P19" s="103">
        <f>SUM(P13:P18)</f>
        <v>24000000</v>
      </c>
      <c r="Q19" s="103">
        <f>SUM(Q13:Q18)</f>
        <v>24000000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2000000</v>
      </c>
      <c r="P20" s="110">
        <v>2000000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2000000</v>
      </c>
      <c r="D21" s="259">
        <f t="shared" ref="D21:N21" si="4">D19+D20</f>
        <v>2000000</v>
      </c>
      <c r="E21" s="259">
        <f t="shared" si="4"/>
        <v>2000000</v>
      </c>
      <c r="F21" s="259">
        <f t="shared" si="4"/>
        <v>2000000</v>
      </c>
      <c r="G21" s="259">
        <f>G19+G20</f>
        <v>2000000</v>
      </c>
      <c r="H21" s="259">
        <f t="shared" si="4"/>
        <v>2000000</v>
      </c>
      <c r="I21" s="259">
        <f t="shared" si="4"/>
        <v>2000000</v>
      </c>
      <c r="J21" s="259">
        <f t="shared" si="4"/>
        <v>2000000</v>
      </c>
      <c r="K21" s="259">
        <f t="shared" si="4"/>
        <v>2000000</v>
      </c>
      <c r="L21" s="259">
        <f t="shared" si="4"/>
        <v>2000000</v>
      </c>
      <c r="M21" s="259">
        <f t="shared" si="4"/>
        <v>2000000</v>
      </c>
      <c r="N21" s="259">
        <f t="shared" si="4"/>
        <v>2000000</v>
      </c>
      <c r="O21" s="259">
        <f>O19+O20</f>
        <v>26000000</v>
      </c>
      <c r="P21" s="103">
        <f>P19+P20</f>
        <v>26000000</v>
      </c>
      <c r="Q21" s="103">
        <f>Q19+Q20</f>
        <v>24000000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100000</v>
      </c>
      <c r="D23" s="257">
        <f t="shared" ref="D23:O23" si="5">IF(D21*5%&lt;500000,D21*5%,500000)</f>
        <v>100000</v>
      </c>
      <c r="E23" s="257">
        <f t="shared" si="5"/>
        <v>100000</v>
      </c>
      <c r="F23" s="257">
        <f t="shared" si="5"/>
        <v>100000</v>
      </c>
      <c r="G23" s="257">
        <f>IF(G21*5%&lt;500000,G21*5%,500000)</f>
        <v>100000</v>
      </c>
      <c r="H23" s="257">
        <f t="shared" si="5"/>
        <v>100000</v>
      </c>
      <c r="I23" s="257">
        <f t="shared" si="5"/>
        <v>100000</v>
      </c>
      <c r="J23" s="257">
        <f t="shared" si="5"/>
        <v>100000</v>
      </c>
      <c r="K23" s="257">
        <f t="shared" si="5"/>
        <v>100000</v>
      </c>
      <c r="L23" s="257">
        <f t="shared" si="5"/>
        <v>100000</v>
      </c>
      <c r="M23" s="257">
        <f t="shared" si="5"/>
        <v>100000</v>
      </c>
      <c r="N23" s="257">
        <f t="shared" si="5"/>
        <v>100000</v>
      </c>
      <c r="O23" s="257">
        <f>IF(O21*5%&lt;6000000,O21*5%,6000000)</f>
        <v>1300000</v>
      </c>
      <c r="P23" s="110">
        <f>IF(P21*5%&lt;6000000,P21*5%,6000000)</f>
        <v>1300000</v>
      </c>
      <c r="Q23" s="110">
        <f>IF(Q21*5%&lt;6000000,Q21*5%,6000000)</f>
        <v>1200000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100000</v>
      </c>
      <c r="D26" s="257">
        <f t="shared" si="6"/>
        <v>100000</v>
      </c>
      <c r="E26" s="257">
        <f t="shared" si="6"/>
        <v>100000</v>
      </c>
      <c r="F26" s="257">
        <f t="shared" si="6"/>
        <v>100000</v>
      </c>
      <c r="G26" s="257">
        <f>SUM(G23:G25)</f>
        <v>100000</v>
      </c>
      <c r="H26" s="257">
        <f t="shared" si="6"/>
        <v>100000</v>
      </c>
      <c r="I26" s="257">
        <f t="shared" si="6"/>
        <v>100000</v>
      </c>
      <c r="J26" s="257">
        <f t="shared" si="6"/>
        <v>100000</v>
      </c>
      <c r="K26" s="257">
        <f t="shared" si="6"/>
        <v>100000</v>
      </c>
      <c r="L26" s="257">
        <f t="shared" si="6"/>
        <v>100000</v>
      </c>
      <c r="M26" s="257">
        <f t="shared" si="6"/>
        <v>100000</v>
      </c>
      <c r="N26" s="257">
        <f t="shared" si="6"/>
        <v>100000</v>
      </c>
      <c r="O26" s="263">
        <f>SUM(O22:O25)</f>
        <v>1300000</v>
      </c>
      <c r="P26" s="103">
        <f>SUM(P23:P25)</f>
        <v>1300000</v>
      </c>
      <c r="Q26" s="103">
        <f>SUM(Q23:Q25)</f>
        <v>1200000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1900000</v>
      </c>
      <c r="D28" s="255">
        <f t="shared" ref="D28:O28" si="7">D21-D26</f>
        <v>1900000</v>
      </c>
      <c r="E28" s="255">
        <f t="shared" si="7"/>
        <v>1900000</v>
      </c>
      <c r="F28" s="255">
        <f t="shared" si="7"/>
        <v>1900000</v>
      </c>
      <c r="G28" s="255">
        <f>G21-G26</f>
        <v>1900000</v>
      </c>
      <c r="H28" s="255">
        <f t="shared" si="7"/>
        <v>1900000</v>
      </c>
      <c r="I28" s="255">
        <f t="shared" si="7"/>
        <v>1900000</v>
      </c>
      <c r="J28" s="255">
        <f t="shared" si="7"/>
        <v>1900000</v>
      </c>
      <c r="K28" s="255">
        <f t="shared" si="7"/>
        <v>1900000</v>
      </c>
      <c r="L28" s="255">
        <f t="shared" si="7"/>
        <v>1900000</v>
      </c>
      <c r="M28" s="255">
        <f t="shared" si="7"/>
        <v>1900000</v>
      </c>
      <c r="N28" s="255">
        <f t="shared" si="7"/>
        <v>1900000</v>
      </c>
      <c r="O28" s="255">
        <f t="shared" si="7"/>
        <v>24700000</v>
      </c>
      <c r="P28" s="103">
        <f>P21-P26</f>
        <v>24700000</v>
      </c>
      <c r="Q28" s="103">
        <f>Q21-Q26</f>
        <v>22800000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22800000</v>
      </c>
      <c r="D30" s="253">
        <f>SUM(C28:D28)*D10/D11</f>
        <v>22800000</v>
      </c>
      <c r="E30" s="253">
        <f>SUM(C28:E28)*E10/E11</f>
        <v>22800000</v>
      </c>
      <c r="F30" s="253">
        <f>SUM(C28:F28)*F10/F11</f>
        <v>22800000</v>
      </c>
      <c r="G30" s="253">
        <f>SUM(C28:G28)*G10/G11</f>
        <v>22800000</v>
      </c>
      <c r="H30" s="253">
        <f>SUM(C28:H28)*H10/H11</f>
        <v>22800000</v>
      </c>
      <c r="I30" s="253">
        <f>SUM(C28:I28)*I10/I11</f>
        <v>22800000</v>
      </c>
      <c r="J30" s="253">
        <f>SUM(C28:J28)*J10/J11</f>
        <v>22800000</v>
      </c>
      <c r="K30" s="253">
        <f>SUM(C28:K28)*K10/K11</f>
        <v>22800000</v>
      </c>
      <c r="L30" s="253">
        <f>SUM(C28:L28)*L10/L11</f>
        <v>22800000</v>
      </c>
      <c r="M30" s="253">
        <f>SUM(C28:M28)*M10/M11</f>
        <v>22800000</v>
      </c>
      <c r="N30" s="253">
        <f>SUM(C28:N28)*N10/N11</f>
        <v>22800000</v>
      </c>
      <c r="O30" s="254">
        <f>O28</f>
        <v>24700000</v>
      </c>
      <c r="P30" s="108">
        <f>P28</f>
        <v>24700000</v>
      </c>
      <c r="Q30" s="108">
        <f>Q28</f>
        <v>22800000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54000000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P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2000000</v>
      </c>
      <c r="D41" s="50">
        <f t="shared" si="14"/>
        <v>2000000</v>
      </c>
      <c r="E41" s="50">
        <f t="shared" si="14"/>
        <v>2000000</v>
      </c>
      <c r="F41" s="50">
        <f t="shared" si="14"/>
        <v>2000000</v>
      </c>
      <c r="G41" s="50">
        <f t="shared" si="14"/>
        <v>2000000</v>
      </c>
      <c r="H41" s="50">
        <f t="shared" si="14"/>
        <v>2000000</v>
      </c>
      <c r="I41" s="50">
        <f t="shared" si="14"/>
        <v>2000000</v>
      </c>
      <c r="J41" s="50">
        <f t="shared" si="14"/>
        <v>2000000</v>
      </c>
      <c r="K41" s="50">
        <f>K21-K25-K36</f>
        <v>2000000</v>
      </c>
      <c r="L41" s="50">
        <f>L21-L25-L36</f>
        <v>2000000</v>
      </c>
      <c r="M41" s="50">
        <f>M21-M25-M36</f>
        <v>2000000</v>
      </c>
      <c r="N41" s="50">
        <f>N21-N25-N36</f>
        <v>2000000</v>
      </c>
      <c r="O41" s="50">
        <f>O21-O25-O36-O38</f>
        <v>26000000</v>
      </c>
      <c r="P41" s="126">
        <f>P21-P25-P36</f>
        <v>26000000</v>
      </c>
      <c r="Q41" s="126">
        <f>Q21-Q25-Q36</f>
        <v>24000000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1400-000000000000}"/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53"/>
  <dimension ref="A1:V51"/>
  <sheetViews>
    <sheetView topLeftCell="A2" workbookViewId="0">
      <selection activeCell="E11" sqref="E11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453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>
        <f>SUM(C9:N9)</f>
        <v>0</v>
      </c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>
        <f>SUM(C11:N11)</f>
        <v>0</v>
      </c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0</v>
      </c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>
        <f>SUM(O9:O14)</f>
        <v>0</v>
      </c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 t="shared" si="2"/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 t="shared" ref="D19:N19" si="3">IF(D17*5%&lt;500000,D17*5%,500000)</f>
        <v>0</v>
      </c>
      <c r="E19" s="37">
        <f t="shared" si="3"/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 t="shared" ref="C24:N24" si="5">C17-C22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54000000</v>
      </c>
      <c r="D27" s="53">
        <f>C27</f>
        <v>54000000</v>
      </c>
      <c r="E27" s="53">
        <f t="shared" ref="E27:M27" si="6">D27</f>
        <v>54000000</v>
      </c>
      <c r="F27" s="53">
        <f t="shared" si="6"/>
        <v>54000000</v>
      </c>
      <c r="G27" s="53">
        <f t="shared" si="6"/>
        <v>54000000</v>
      </c>
      <c r="H27" s="53">
        <f>G27</f>
        <v>54000000</v>
      </c>
      <c r="I27" s="53">
        <f t="shared" si="6"/>
        <v>54000000</v>
      </c>
      <c r="J27" s="53">
        <f t="shared" si="6"/>
        <v>54000000</v>
      </c>
      <c r="K27" s="53">
        <f t="shared" si="6"/>
        <v>54000000</v>
      </c>
      <c r="L27" s="53">
        <f t="shared" si="6"/>
        <v>54000000</v>
      </c>
      <c r="M27" s="53">
        <f t="shared" si="6"/>
        <v>54000000</v>
      </c>
      <c r="N27" s="53">
        <f>M27</f>
        <v>54000000</v>
      </c>
      <c r="O27" s="53">
        <f>N27</f>
        <v>54000000</v>
      </c>
      <c r="P27" s="103">
        <f>O27</f>
        <v>54000000</v>
      </c>
      <c r="Q27" s="103">
        <f>P27</f>
        <v>54000000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f>P31/12</f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9:N9 D10:N14 P9:Q14" xr:uid="{00000000-0002-0000-1500-000000000000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9"/>
  <dimension ref="A1:V59"/>
  <sheetViews>
    <sheetView topLeftCell="C1" zoomScale="75" workbookViewId="0">
      <selection activeCell="O23" sqref="O2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183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3500000</v>
      </c>
      <c r="D13" s="92">
        <v>3500000</v>
      </c>
      <c r="E13" s="162">
        <v>3500000</v>
      </c>
      <c r="F13" s="92">
        <v>3500000</v>
      </c>
      <c r="G13" s="92">
        <v>3500000</v>
      </c>
      <c r="H13" s="92">
        <v>3550000</v>
      </c>
      <c r="I13" s="92">
        <v>3550000</v>
      </c>
      <c r="J13" s="92">
        <v>3500000</v>
      </c>
      <c r="K13" s="92">
        <v>3550000</v>
      </c>
      <c r="L13" s="92">
        <v>3550000</v>
      </c>
      <c r="M13" s="92"/>
      <c r="N13" s="92"/>
      <c r="O13" s="32">
        <f>SUM(C13:N13)</f>
        <v>35200000</v>
      </c>
      <c r="P13" s="123">
        <f t="shared" ref="P13:P18" si="1">Q13</f>
        <v>42000000</v>
      </c>
      <c r="Q13" s="123">
        <f>F13*12</f>
        <v>42000000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>
        <v>100000</v>
      </c>
      <c r="K16" s="92"/>
      <c r="L16" s="92"/>
      <c r="M16" s="92"/>
      <c r="N16" s="92"/>
      <c r="O16" s="32">
        <f>SUM(C16:N16)</f>
        <v>100000</v>
      </c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L19" si="3">SUM(C13:C18)</f>
        <v>3500000</v>
      </c>
      <c r="D19" s="37">
        <f t="shared" si="3"/>
        <v>3500000</v>
      </c>
      <c r="E19" s="37">
        <f t="shared" si="3"/>
        <v>3500000</v>
      </c>
      <c r="F19" s="37">
        <f t="shared" si="3"/>
        <v>3500000</v>
      </c>
      <c r="G19" s="37">
        <f t="shared" si="3"/>
        <v>3500000</v>
      </c>
      <c r="H19" s="37">
        <f t="shared" si="3"/>
        <v>3550000</v>
      </c>
      <c r="I19" s="37">
        <f t="shared" si="3"/>
        <v>3550000</v>
      </c>
      <c r="J19" s="37">
        <f t="shared" si="3"/>
        <v>3600000</v>
      </c>
      <c r="K19" s="37">
        <f t="shared" si="3"/>
        <v>3550000</v>
      </c>
      <c r="L19" s="37">
        <f t="shared" si="3"/>
        <v>3550000</v>
      </c>
      <c r="M19" s="37"/>
      <c r="N19" s="37"/>
      <c r="O19" s="38">
        <f>SUM(O13:O18)</f>
        <v>35300000</v>
      </c>
      <c r="P19" s="103">
        <f>SUM(P13:P18)</f>
        <v>42000000</v>
      </c>
      <c r="Q19" s="103">
        <f>SUM(Q13:Q18)</f>
        <v>42000000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3500000</v>
      </c>
      <c r="P20" s="110">
        <v>3500000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3500000</v>
      </c>
      <c r="D21" s="259">
        <f t="shared" ref="D21:N21" si="4">D19+D20</f>
        <v>3500000</v>
      </c>
      <c r="E21" s="259">
        <f t="shared" si="4"/>
        <v>3500000</v>
      </c>
      <c r="F21" s="259">
        <f t="shared" si="4"/>
        <v>3500000</v>
      </c>
      <c r="G21" s="259">
        <f>G19+G20</f>
        <v>3500000</v>
      </c>
      <c r="H21" s="259">
        <f t="shared" si="4"/>
        <v>3550000</v>
      </c>
      <c r="I21" s="259">
        <f t="shared" si="4"/>
        <v>3550000</v>
      </c>
      <c r="J21" s="259">
        <f t="shared" si="4"/>
        <v>3600000</v>
      </c>
      <c r="K21" s="259">
        <f t="shared" si="4"/>
        <v>3550000</v>
      </c>
      <c r="L21" s="259">
        <f t="shared" si="4"/>
        <v>3550000</v>
      </c>
      <c r="M21" s="259">
        <f t="shared" si="4"/>
        <v>0</v>
      </c>
      <c r="N21" s="259">
        <f t="shared" si="4"/>
        <v>0</v>
      </c>
      <c r="O21" s="259">
        <f>O19+O20</f>
        <v>38800000</v>
      </c>
      <c r="P21" s="103">
        <f>P19+P20</f>
        <v>45500000</v>
      </c>
      <c r="Q21" s="103">
        <f>Q19+Q20</f>
        <v>42000000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175000</v>
      </c>
      <c r="D23" s="257">
        <f t="shared" ref="D23:N23" si="5">IF(D21*5%&lt;500000,D21*5%,500000)</f>
        <v>175000</v>
      </c>
      <c r="E23" s="257">
        <f t="shared" si="5"/>
        <v>175000</v>
      </c>
      <c r="F23" s="257">
        <f t="shared" si="5"/>
        <v>175000</v>
      </c>
      <c r="G23" s="257">
        <f>IF(G21*5%&lt;500000,G21*5%,500000)</f>
        <v>175000</v>
      </c>
      <c r="H23" s="257">
        <f t="shared" si="5"/>
        <v>177500</v>
      </c>
      <c r="I23" s="257">
        <f t="shared" si="5"/>
        <v>177500</v>
      </c>
      <c r="J23" s="257">
        <f t="shared" si="5"/>
        <v>180000</v>
      </c>
      <c r="K23" s="257">
        <f t="shared" si="5"/>
        <v>177500</v>
      </c>
      <c r="L23" s="257">
        <f t="shared" si="5"/>
        <v>177500</v>
      </c>
      <c r="M23" s="257">
        <f t="shared" si="5"/>
        <v>0</v>
      </c>
      <c r="N23" s="257">
        <f t="shared" si="5"/>
        <v>0</v>
      </c>
      <c r="O23" s="257">
        <f>IF(O21*5%&lt;6000000,O21*5%,6000000)</f>
        <v>1940000</v>
      </c>
      <c r="P23" s="110">
        <f>IF(P21*5%&lt;6000000,P21*5%,6000000)</f>
        <v>2275000</v>
      </c>
      <c r="Q23" s="110">
        <f>IF(Q21*5%&lt;6000000,Q21*5%,6000000)</f>
        <v>2100000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175000</v>
      </c>
      <c r="D26" s="257">
        <f t="shared" si="6"/>
        <v>175000</v>
      </c>
      <c r="E26" s="257">
        <f t="shared" si="6"/>
        <v>175000</v>
      </c>
      <c r="F26" s="257">
        <f t="shared" si="6"/>
        <v>175000</v>
      </c>
      <c r="G26" s="257">
        <f>SUM(G23:G25)</f>
        <v>175000</v>
      </c>
      <c r="H26" s="257">
        <f t="shared" si="6"/>
        <v>177500</v>
      </c>
      <c r="I26" s="257">
        <f t="shared" si="6"/>
        <v>177500</v>
      </c>
      <c r="J26" s="257">
        <f t="shared" si="6"/>
        <v>180000</v>
      </c>
      <c r="K26" s="257">
        <f t="shared" si="6"/>
        <v>177500</v>
      </c>
      <c r="L26" s="257">
        <f t="shared" si="6"/>
        <v>177500</v>
      </c>
      <c r="M26" s="257">
        <f t="shared" si="6"/>
        <v>0</v>
      </c>
      <c r="N26" s="257">
        <f t="shared" si="6"/>
        <v>0</v>
      </c>
      <c r="O26" s="263">
        <f>SUM(O22:O25)</f>
        <v>1940000</v>
      </c>
      <c r="P26" s="103">
        <f>SUM(P23:P25)</f>
        <v>2275000</v>
      </c>
      <c r="Q26" s="103">
        <f>SUM(Q23:Q25)</f>
        <v>2100000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3325000</v>
      </c>
      <c r="D28" s="255">
        <f t="shared" ref="D28:O28" si="7">D21-D26</f>
        <v>3325000</v>
      </c>
      <c r="E28" s="255">
        <f t="shared" si="7"/>
        <v>3325000</v>
      </c>
      <c r="F28" s="255">
        <f t="shared" si="7"/>
        <v>3325000</v>
      </c>
      <c r="G28" s="255">
        <f>G21-G26</f>
        <v>3325000</v>
      </c>
      <c r="H28" s="255">
        <f t="shared" si="7"/>
        <v>3372500</v>
      </c>
      <c r="I28" s="255">
        <f t="shared" si="7"/>
        <v>3372500</v>
      </c>
      <c r="J28" s="255">
        <f t="shared" si="7"/>
        <v>3420000</v>
      </c>
      <c r="K28" s="255">
        <f t="shared" si="7"/>
        <v>3372500</v>
      </c>
      <c r="L28" s="255">
        <f t="shared" si="7"/>
        <v>3372500</v>
      </c>
      <c r="M28" s="255">
        <f t="shared" si="7"/>
        <v>0</v>
      </c>
      <c r="N28" s="255">
        <f t="shared" si="7"/>
        <v>0</v>
      </c>
      <c r="O28" s="255">
        <f t="shared" si="7"/>
        <v>36860000</v>
      </c>
      <c r="P28" s="103">
        <f>P21-P26</f>
        <v>43225000</v>
      </c>
      <c r="Q28" s="103">
        <f>Q21-Q26</f>
        <v>39900000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39900000</v>
      </c>
      <c r="D30" s="253">
        <f>SUM(C28:D28)*D10/D11</f>
        <v>39900000</v>
      </c>
      <c r="E30" s="253">
        <f>SUM(C28:E28)*E10/E11</f>
        <v>39900000</v>
      </c>
      <c r="F30" s="253">
        <f>SUM(C28:F28)*F10/F11</f>
        <v>39900000</v>
      </c>
      <c r="G30" s="253">
        <f>SUM(C28:G28)*G10/G11</f>
        <v>39900000</v>
      </c>
      <c r="H30" s="253">
        <f>SUM(C28:H28)*H10/H11</f>
        <v>39995000</v>
      </c>
      <c r="I30" s="253">
        <f>SUM(C28:I28)*I10/I11</f>
        <v>40062857.142857142</v>
      </c>
      <c r="J30" s="253">
        <f>SUM(C28:J28)*J10/J11</f>
        <v>40185000</v>
      </c>
      <c r="K30" s="253">
        <f>SUM(C28:K28)*K10/K11</f>
        <v>40216666.666666664</v>
      </c>
      <c r="L30" s="253">
        <f>SUM(C28:L28)*L10/L11</f>
        <v>40242000</v>
      </c>
      <c r="M30" s="253">
        <f>SUM(C28:M28)*M10/M11</f>
        <v>36583636.363636367</v>
      </c>
      <c r="N30" s="253">
        <f>SUM(C28:N28)*N10/N11</f>
        <v>33535000</v>
      </c>
      <c r="O30" s="254">
        <f>O28</f>
        <v>36860000</v>
      </c>
      <c r="P30" s="108">
        <f>P28</f>
        <v>43225000</v>
      </c>
      <c r="Q30" s="108">
        <f>Q28</f>
        <v>39900000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P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3500000</v>
      </c>
      <c r="D41" s="50">
        <f t="shared" si="14"/>
        <v>3500000</v>
      </c>
      <c r="E41" s="50">
        <f t="shared" si="14"/>
        <v>3500000</v>
      </c>
      <c r="F41" s="50">
        <f t="shared" si="14"/>
        <v>3500000</v>
      </c>
      <c r="G41" s="50">
        <f t="shared" si="14"/>
        <v>3500000</v>
      </c>
      <c r="H41" s="50">
        <f t="shared" si="14"/>
        <v>3550000</v>
      </c>
      <c r="I41" s="50">
        <f t="shared" si="14"/>
        <v>3550000</v>
      </c>
      <c r="J41" s="50">
        <f t="shared" si="14"/>
        <v>3600000</v>
      </c>
      <c r="K41" s="50">
        <f>K21-K25-K36</f>
        <v>3550000</v>
      </c>
      <c r="L41" s="50">
        <f>L21-L25-L36</f>
        <v>3550000</v>
      </c>
      <c r="M41" s="50">
        <f>M21-M25-M36</f>
        <v>0</v>
      </c>
      <c r="N41" s="50">
        <f>N21-N25-N36</f>
        <v>0</v>
      </c>
      <c r="O41" s="50">
        <f>O21-O25-O36-O38</f>
        <v>38800000</v>
      </c>
      <c r="P41" s="126">
        <f>P21-P25-P36</f>
        <v>45500000</v>
      </c>
      <c r="Q41" s="126">
        <f>Q21-Q25-Q36</f>
        <v>42000000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1600-000000000000}"/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4"/>
  <dimension ref="A1:V59"/>
  <sheetViews>
    <sheetView topLeftCell="C1" zoomScale="62" workbookViewId="0">
      <selection activeCell="O37" sqref="O37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8" width="11.5703125" style="3" bestFit="1" customWidth="1"/>
    <col min="19" max="16384" width="9.140625" style="3"/>
  </cols>
  <sheetData>
    <row r="1" spans="1:17" x14ac:dyDescent="0.25">
      <c r="A1" s="6" t="s">
        <v>52</v>
      </c>
      <c r="B1" s="4" t="s">
        <v>191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92">
        <v>5000000</v>
      </c>
      <c r="D13" s="92">
        <v>5000000</v>
      </c>
      <c r="E13" s="162">
        <v>5000000</v>
      </c>
      <c r="F13" s="92">
        <v>5000000</v>
      </c>
      <c r="G13" s="92">
        <v>5000000</v>
      </c>
      <c r="H13" s="92">
        <v>5000000</v>
      </c>
      <c r="I13" s="92">
        <v>5000000</v>
      </c>
      <c r="J13" s="92">
        <v>5000000</v>
      </c>
      <c r="K13" s="92">
        <v>5000000</v>
      </c>
      <c r="L13" s="92">
        <v>5000000</v>
      </c>
      <c r="M13" s="92">
        <v>5000000</v>
      </c>
      <c r="N13" s="92">
        <v>5000000</v>
      </c>
      <c r="O13" s="32">
        <f>SUM(C13:N13)</f>
        <v>60000000</v>
      </c>
      <c r="P13" s="123">
        <f t="shared" ref="P13:P18" si="1">Q13</f>
        <v>60000000</v>
      </c>
      <c r="Q13" s="123">
        <f>F13*12</f>
        <v>60000000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>
        <v>4800000</v>
      </c>
      <c r="D16" s="92"/>
      <c r="E16" s="92">
        <v>6430000</v>
      </c>
      <c r="F16" s="92">
        <v>2000000</v>
      </c>
      <c r="G16" s="92">
        <v>2275000</v>
      </c>
      <c r="H16" s="92">
        <v>1650000</v>
      </c>
      <c r="I16" s="92"/>
      <c r="J16" s="92">
        <v>6325000</v>
      </c>
      <c r="K16" s="92">
        <v>7455000</v>
      </c>
      <c r="L16" s="92">
        <v>3125000</v>
      </c>
      <c r="M16" s="92"/>
      <c r="N16" s="92">
        <v>1179000</v>
      </c>
      <c r="O16" s="32">
        <f>SUM(C16:N16)</f>
        <v>35239000</v>
      </c>
      <c r="P16" s="123">
        <f t="shared" si="1"/>
        <v>24000000</v>
      </c>
      <c r="Q16" s="123">
        <f>F16*12</f>
        <v>24000000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9800000</v>
      </c>
      <c r="D19" s="37">
        <f t="shared" si="3"/>
        <v>5000000</v>
      </c>
      <c r="E19" s="37">
        <f t="shared" si="3"/>
        <v>11430000</v>
      </c>
      <c r="F19" s="37">
        <f t="shared" si="3"/>
        <v>7000000</v>
      </c>
      <c r="G19" s="37">
        <f t="shared" si="3"/>
        <v>7275000</v>
      </c>
      <c r="H19" s="37">
        <f t="shared" si="3"/>
        <v>6650000</v>
      </c>
      <c r="I19" s="37">
        <f t="shared" si="3"/>
        <v>5000000</v>
      </c>
      <c r="J19" s="37">
        <f t="shared" si="3"/>
        <v>11325000</v>
      </c>
      <c r="K19" s="37">
        <f t="shared" si="3"/>
        <v>12455000</v>
      </c>
      <c r="L19" s="37">
        <f t="shared" si="3"/>
        <v>8125000</v>
      </c>
      <c r="M19" s="37">
        <f t="shared" si="3"/>
        <v>5000000</v>
      </c>
      <c r="N19" s="37">
        <f t="shared" si="3"/>
        <v>6179000</v>
      </c>
      <c r="O19" s="38">
        <f>SUM(O13:O18)</f>
        <v>95239000</v>
      </c>
      <c r="P19" s="103">
        <f>SUM(P13:P18)</f>
        <v>84000000</v>
      </c>
      <c r="Q19" s="103">
        <f>SUM(Q13:Q18)</f>
        <v>84000000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3000000</v>
      </c>
      <c r="P20" s="110">
        <v>3000000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9800000</v>
      </c>
      <c r="D21" s="259">
        <f t="shared" ref="D21:N21" si="4">D19+D20</f>
        <v>5000000</v>
      </c>
      <c r="E21" s="259">
        <f t="shared" si="4"/>
        <v>11430000</v>
      </c>
      <c r="F21" s="259">
        <f t="shared" si="4"/>
        <v>7000000</v>
      </c>
      <c r="G21" s="259">
        <f>G19+G20</f>
        <v>7275000</v>
      </c>
      <c r="H21" s="259">
        <f t="shared" si="4"/>
        <v>6650000</v>
      </c>
      <c r="I21" s="259">
        <f t="shared" si="4"/>
        <v>5000000</v>
      </c>
      <c r="J21" s="259">
        <f t="shared" si="4"/>
        <v>11325000</v>
      </c>
      <c r="K21" s="259">
        <f t="shared" si="4"/>
        <v>12455000</v>
      </c>
      <c r="L21" s="259">
        <f t="shared" si="4"/>
        <v>8125000</v>
      </c>
      <c r="M21" s="259">
        <f t="shared" si="4"/>
        <v>5000000</v>
      </c>
      <c r="N21" s="259">
        <f t="shared" si="4"/>
        <v>6179000</v>
      </c>
      <c r="O21" s="259">
        <f>O19+O20</f>
        <v>98239000</v>
      </c>
      <c r="P21" s="103">
        <f>P19+P20</f>
        <v>87000000</v>
      </c>
      <c r="Q21" s="103">
        <f>Q19+Q20</f>
        <v>84000000</v>
      </c>
      <c r="R21" s="130"/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490000</v>
      </c>
      <c r="D23" s="257">
        <f t="shared" ref="D23:N23" si="5">IF(D21*5%&lt;500000,D21*5%,500000)</f>
        <v>250000</v>
      </c>
      <c r="E23" s="257">
        <f t="shared" si="5"/>
        <v>500000</v>
      </c>
      <c r="F23" s="257">
        <f t="shared" si="5"/>
        <v>350000</v>
      </c>
      <c r="G23" s="257">
        <f>IF(G21*5%&lt;500000,G21*5%,500000)</f>
        <v>363750</v>
      </c>
      <c r="H23" s="257">
        <f t="shared" si="5"/>
        <v>332500</v>
      </c>
      <c r="I23" s="257">
        <f t="shared" si="5"/>
        <v>250000</v>
      </c>
      <c r="J23" s="257">
        <f t="shared" si="5"/>
        <v>500000</v>
      </c>
      <c r="K23" s="257">
        <f t="shared" si="5"/>
        <v>500000</v>
      </c>
      <c r="L23" s="257">
        <f t="shared" si="5"/>
        <v>406250</v>
      </c>
      <c r="M23" s="257">
        <f t="shared" si="5"/>
        <v>250000</v>
      </c>
      <c r="N23" s="257">
        <f t="shared" si="5"/>
        <v>308950</v>
      </c>
      <c r="O23" s="257">
        <f>IF(O21*5%&lt;6000000,O21*5%,6000000)</f>
        <v>4911950</v>
      </c>
      <c r="P23" s="110">
        <f>IF(P21*5%&lt;6000000,P21*5%,6000000)</f>
        <v>4350000</v>
      </c>
      <c r="Q23" s="110">
        <f>IF(Q21*5%&lt;6000000,Q21*5%,6000000)</f>
        <v>4200000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490000</v>
      </c>
      <c r="D26" s="257">
        <f t="shared" si="6"/>
        <v>250000</v>
      </c>
      <c r="E26" s="257">
        <f t="shared" si="6"/>
        <v>500000</v>
      </c>
      <c r="F26" s="257">
        <f t="shared" si="6"/>
        <v>350000</v>
      </c>
      <c r="G26" s="257">
        <f>SUM(G23:G25)</f>
        <v>363750</v>
      </c>
      <c r="H26" s="257">
        <f t="shared" si="6"/>
        <v>332500</v>
      </c>
      <c r="I26" s="257">
        <f t="shared" si="6"/>
        <v>250000</v>
      </c>
      <c r="J26" s="257">
        <f t="shared" si="6"/>
        <v>500000</v>
      </c>
      <c r="K26" s="257">
        <f t="shared" si="6"/>
        <v>500000</v>
      </c>
      <c r="L26" s="257">
        <f t="shared" si="6"/>
        <v>406250</v>
      </c>
      <c r="M26" s="257">
        <f t="shared" si="6"/>
        <v>250000</v>
      </c>
      <c r="N26" s="257">
        <f t="shared" si="6"/>
        <v>308950</v>
      </c>
      <c r="O26" s="263">
        <f>SUM(O22:O25)</f>
        <v>4911950</v>
      </c>
      <c r="P26" s="103">
        <f>SUM(P23:P25)</f>
        <v>4350000</v>
      </c>
      <c r="Q26" s="103">
        <f>SUM(Q23:Q25)</f>
        <v>4200000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9310000</v>
      </c>
      <c r="D28" s="255">
        <f t="shared" ref="D28:O28" si="7">D21-D26</f>
        <v>4750000</v>
      </c>
      <c r="E28" s="255">
        <f t="shared" si="7"/>
        <v>10930000</v>
      </c>
      <c r="F28" s="255">
        <f t="shared" si="7"/>
        <v>6650000</v>
      </c>
      <c r="G28" s="255">
        <f>G21-G26</f>
        <v>6911250</v>
      </c>
      <c r="H28" s="255">
        <f t="shared" si="7"/>
        <v>6317500</v>
      </c>
      <c r="I28" s="255">
        <f t="shared" si="7"/>
        <v>4750000</v>
      </c>
      <c r="J28" s="255">
        <f t="shared" si="7"/>
        <v>10825000</v>
      </c>
      <c r="K28" s="255">
        <f t="shared" si="7"/>
        <v>11955000</v>
      </c>
      <c r="L28" s="255">
        <f t="shared" si="7"/>
        <v>7718750</v>
      </c>
      <c r="M28" s="255">
        <f t="shared" si="7"/>
        <v>4750000</v>
      </c>
      <c r="N28" s="255">
        <f t="shared" si="7"/>
        <v>5870050</v>
      </c>
      <c r="O28" s="255">
        <f t="shared" si="7"/>
        <v>93327050</v>
      </c>
      <c r="P28" s="103">
        <f>P21-P26</f>
        <v>82650000</v>
      </c>
      <c r="Q28" s="103">
        <f>Q21-Q26</f>
        <v>79800000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111720000</v>
      </c>
      <c r="D30" s="253">
        <f>SUM(C28:D28)*D10/D11</f>
        <v>84360000</v>
      </c>
      <c r="E30" s="253">
        <f>SUM(C28:E28)*E10/E11</f>
        <v>99960000</v>
      </c>
      <c r="F30" s="253">
        <f>SUM(C28:F28)*F10/F11</f>
        <v>94920000</v>
      </c>
      <c r="G30" s="253">
        <f>SUM(C28:G28)*G10/G11</f>
        <v>92523000</v>
      </c>
      <c r="H30" s="253">
        <f>SUM(C28:H28)*H10/H11</f>
        <v>89737500</v>
      </c>
      <c r="I30" s="253">
        <f>SUM(C28:I28)*I10/I11</f>
        <v>85060714.285714284</v>
      </c>
      <c r="J30" s="253">
        <f>SUM(C28:J28)*J10/J11</f>
        <v>90665625</v>
      </c>
      <c r="K30" s="253">
        <f>SUM(C28:K28)*K10/K11</f>
        <v>96531666.666666672</v>
      </c>
      <c r="L30" s="253">
        <f>SUM(C28:L28)*L10/L11</f>
        <v>96141000</v>
      </c>
      <c r="M30" s="253">
        <f>SUM(C28:M28)*M10/M11</f>
        <v>92582727.272727266</v>
      </c>
      <c r="N30" s="253">
        <f>SUM(C28:N28)*N10/N11</f>
        <v>90737550</v>
      </c>
      <c r="O30" s="254">
        <f>O28</f>
        <v>93327050</v>
      </c>
      <c r="P30" s="108">
        <f>P28</f>
        <v>82650000</v>
      </c>
      <c r="Q30" s="108">
        <f>Q28</f>
        <v>79800000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39720000</v>
      </c>
      <c r="D32" s="256">
        <f t="shared" ref="D32:O32" si="9">ROUNDDOWN(IF(D30&lt;=D31,0,IF(D30&gt;D31,D30-D31)),-3)</f>
        <v>12360000</v>
      </c>
      <c r="E32" s="256">
        <f t="shared" si="9"/>
        <v>27960000</v>
      </c>
      <c r="F32" s="256">
        <f t="shared" si="9"/>
        <v>22920000</v>
      </c>
      <c r="G32" s="256">
        <f t="shared" si="9"/>
        <v>20523000</v>
      </c>
      <c r="H32" s="256">
        <f t="shared" si="9"/>
        <v>17737000</v>
      </c>
      <c r="I32" s="256">
        <f>ROUNDDOWN(IF(I30&lt;=I31,0,IF(I30&gt;I31,I30-I31)),-3)</f>
        <v>13060000</v>
      </c>
      <c r="J32" s="256">
        <f t="shared" si="9"/>
        <v>18665000</v>
      </c>
      <c r="K32" s="256">
        <f t="shared" si="9"/>
        <v>24531000</v>
      </c>
      <c r="L32" s="256">
        <f t="shared" si="9"/>
        <v>24141000</v>
      </c>
      <c r="M32" s="256">
        <f t="shared" si="9"/>
        <v>20582000</v>
      </c>
      <c r="N32" s="256">
        <f t="shared" si="9"/>
        <v>18737000</v>
      </c>
      <c r="O32" s="256">
        <f t="shared" si="9"/>
        <v>21327000</v>
      </c>
      <c r="P32" s="103">
        <f t="shared" ref="P32:Q32" si="10">ROUNDDOWN(IF(P30&lt;=P31,0,IF(P30&gt;P31,P30-P31)),-3)</f>
        <v>10650000</v>
      </c>
      <c r="Q32" s="103">
        <f t="shared" si="10"/>
        <v>7800000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1986000</v>
      </c>
      <c r="D33" s="257">
        <f t="shared" si="11"/>
        <v>618000</v>
      </c>
      <c r="E33" s="257">
        <f t="shared" si="11"/>
        <v>1398000</v>
      </c>
      <c r="F33" s="257">
        <f t="shared" si="11"/>
        <v>1146000</v>
      </c>
      <c r="G33" s="257">
        <f t="shared" si="11"/>
        <v>1026150</v>
      </c>
      <c r="H33" s="257">
        <f t="shared" si="11"/>
        <v>886850</v>
      </c>
      <c r="I33" s="257">
        <f t="shared" si="11"/>
        <v>653000</v>
      </c>
      <c r="J33" s="257">
        <f t="shared" si="11"/>
        <v>933250</v>
      </c>
      <c r="K33" s="257">
        <f t="shared" si="11"/>
        <v>1226550</v>
      </c>
      <c r="L33" s="257">
        <f t="shared" si="11"/>
        <v>1207050</v>
      </c>
      <c r="M33" s="257">
        <f t="shared" si="11"/>
        <v>1029100</v>
      </c>
      <c r="N33" s="257">
        <f t="shared" si="11"/>
        <v>936850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IF(O32&lt;0,0,IF(O32&lt;60000000,O32*5%,IF(O32&lt;250000000,(O32-60000000)*15%+3000000,IF(O32&lt;500000000,(O32-250000000)*25%+31500000,IF(O32&lt;5000000000,(O32-500000000)*30%+94000000,IF(O32&gt;5000000000,(O32-500000000)*35%+1444000000))))))*120%</f>
        <v>1279620</v>
      </c>
      <c r="P33" s="255">
        <f>IF(P32&lt;0,0,IF(P32&lt;60000000,P32*5%,IF(P32&lt;250000000,(P32-60000000)*15%+3000000,IF(P32&lt;500000000,(P32-250000000)*25%+31500000,IF(P32&lt;5000000000,(P32-500000000)*30%+94000000,IF(P32&gt;5000000000,(P32-500000000)*35%+1444000000))))))*120%</f>
        <v>639000</v>
      </c>
      <c r="Q33" s="255">
        <f>IF(Q32&lt;0,0,IF(Q32&lt;60000000,Q32*5%,IF(Q32&lt;250000000,(Q32-60000000)*15%+3000000,IF(Q32&lt;500000000,(Q32-250000000)*25%+31500000,IF(Q32&lt;5000000000,(Q32-500000000)*30%+94000000,IF(Q32&gt;5000000000,(Q32-500000000)*35%+1444000000))))))*120%</f>
        <v>468000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1986000</v>
      </c>
      <c r="D35" s="255">
        <f t="shared" ref="D35:M35" si="12">D33-D34</f>
        <v>618000</v>
      </c>
      <c r="E35" s="255">
        <f t="shared" si="12"/>
        <v>1398000</v>
      </c>
      <c r="F35" s="255">
        <f t="shared" si="12"/>
        <v>1146000</v>
      </c>
      <c r="G35" s="255">
        <f t="shared" si="12"/>
        <v>1026150</v>
      </c>
      <c r="H35" s="255">
        <f t="shared" si="12"/>
        <v>886850</v>
      </c>
      <c r="I35" s="255">
        <f t="shared" si="12"/>
        <v>653000</v>
      </c>
      <c r="J35" s="255">
        <f t="shared" si="12"/>
        <v>933250</v>
      </c>
      <c r="K35" s="255">
        <f t="shared" si="12"/>
        <v>1226550</v>
      </c>
      <c r="L35" s="255">
        <f t="shared" si="12"/>
        <v>1207050</v>
      </c>
      <c r="M35" s="255">
        <f t="shared" si="12"/>
        <v>1029100</v>
      </c>
      <c r="N35" s="255">
        <f>N33-N34</f>
        <v>936850</v>
      </c>
      <c r="O35" s="255">
        <f>O33</f>
        <v>1279620</v>
      </c>
      <c r="P35" s="103">
        <f>P33+P34</f>
        <v>639000</v>
      </c>
      <c r="Q35" s="103">
        <f>Q33+Q34</f>
        <v>468000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198600</v>
      </c>
      <c r="D36" s="264">
        <f>(D35/D10*D11*120%)-SUM(C36)</f>
        <v>-75000</v>
      </c>
      <c r="E36" s="264">
        <f>(E35/E10*E11*120%)-SUM(C36:D36)</f>
        <v>295800</v>
      </c>
      <c r="F36" s="264">
        <f>(F35/F10*F11*120%)-SUM(C36:E36)</f>
        <v>39000</v>
      </c>
      <c r="G36" s="264">
        <f>(G35/G10*G11*120%)-SUM(C36:F36)</f>
        <v>54675</v>
      </c>
      <c r="H36" s="264">
        <f>(H35/H10*H11*120%)-SUM(C36:G36)</f>
        <v>19035</v>
      </c>
      <c r="I36" s="264">
        <f>(I35/I10*I11*120%)-SUM(C36:H36)</f>
        <v>-75010.000000000058</v>
      </c>
      <c r="J36" s="264">
        <f>(J35/J10*J11*120%)-SUM(C36:I36)</f>
        <v>289499.99999999994</v>
      </c>
      <c r="K36" s="264">
        <f>(K35/K10*K11*120%)-SUM(C36:J36)</f>
        <v>357295.00000000012</v>
      </c>
      <c r="L36" s="264">
        <f>(L35/L10*L11*120%)-SUM(C36:K36)</f>
        <v>103155</v>
      </c>
      <c r="M36" s="264">
        <f>(M35/M10*M11*120%)-SUM(C36:L36)</f>
        <v>-75040</v>
      </c>
      <c r="N36" s="264">
        <f>O35-SUM(C36:M36)</f>
        <v>147610</v>
      </c>
      <c r="O36" s="259">
        <f>SUM(C36:N36)</f>
        <v>1279620</v>
      </c>
      <c r="P36" s="108">
        <f>P35/12</f>
        <v>53250</v>
      </c>
      <c r="Q36" s="108">
        <f>Q35/12</f>
        <v>39000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171000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210000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3">C21-C25-C36</f>
        <v>9601400</v>
      </c>
      <c r="D41" s="50">
        <f t="shared" si="13"/>
        <v>5075000</v>
      </c>
      <c r="E41" s="50">
        <f t="shared" si="13"/>
        <v>11134200</v>
      </c>
      <c r="F41" s="50">
        <f t="shared" si="13"/>
        <v>6961000</v>
      </c>
      <c r="G41" s="50">
        <f t="shared" si="13"/>
        <v>7220325</v>
      </c>
      <c r="H41" s="50">
        <f t="shared" si="13"/>
        <v>6630965</v>
      </c>
      <c r="I41" s="50">
        <f t="shared" si="13"/>
        <v>5075010</v>
      </c>
      <c r="J41" s="50">
        <f t="shared" si="13"/>
        <v>11035500</v>
      </c>
      <c r="K41" s="50">
        <f>K21-K25-K36</f>
        <v>12097705</v>
      </c>
      <c r="L41" s="50">
        <f>L21-L25-L36</f>
        <v>8021845</v>
      </c>
      <c r="M41" s="50">
        <f>M21-M25-M36</f>
        <v>5075040</v>
      </c>
      <c r="N41" s="50">
        <f>N21-N25-N36</f>
        <v>6031390</v>
      </c>
      <c r="O41" s="50">
        <f>O21-O25-O36-O38</f>
        <v>96959380</v>
      </c>
      <c r="P41" s="126">
        <f>P21-P25-P36</f>
        <v>86946750</v>
      </c>
      <c r="Q41" s="126">
        <f>Q21-Q25-Q36</f>
        <v>83961000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1700-000000000000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35"/>
  <dimension ref="A1:V51"/>
  <sheetViews>
    <sheetView topLeftCell="A8" workbookViewId="0">
      <pane xSplit="2" ySplit="1" topLeftCell="C9" activePane="bottomRight" state="frozen"/>
      <selection activeCell="J32" sqref="J32"/>
      <selection pane="topRight" activeCell="J32" sqref="J32"/>
      <selection pane="bottomLeft" activeCell="J32" sqref="J32"/>
      <selection pane="bottomRight" activeCell="A9" sqref="A9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>
        <f>SUM(C9:N9)</f>
        <v>0</v>
      </c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>
        <f>SUM(C11:N11)</f>
        <v>0</v>
      </c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0</v>
      </c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>
        <f>SUM(O9:O14)</f>
        <v>0</v>
      </c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 t="shared" si="2"/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 t="shared" ref="D19:N19" si="3">IF(D17*5%&lt;500000,D17*5%,500000)</f>
        <v>0</v>
      </c>
      <c r="E19" s="37">
        <f t="shared" si="3"/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 t="shared" ref="C24:N24" si="5">C17-C22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72000000</v>
      </c>
      <c r="D27" s="53">
        <f>C27</f>
        <v>72000000</v>
      </c>
      <c r="E27" s="53">
        <f t="shared" ref="E27:M27" si="6">D27</f>
        <v>72000000</v>
      </c>
      <c r="F27" s="53">
        <f t="shared" si="6"/>
        <v>72000000</v>
      </c>
      <c r="G27" s="53">
        <f t="shared" si="6"/>
        <v>72000000</v>
      </c>
      <c r="H27" s="53">
        <f>G27</f>
        <v>72000000</v>
      </c>
      <c r="I27" s="53">
        <f t="shared" si="6"/>
        <v>72000000</v>
      </c>
      <c r="J27" s="53">
        <f t="shared" si="6"/>
        <v>72000000</v>
      </c>
      <c r="K27" s="53">
        <f t="shared" si="6"/>
        <v>72000000</v>
      </c>
      <c r="L27" s="53">
        <f t="shared" si="6"/>
        <v>72000000</v>
      </c>
      <c r="M27" s="53">
        <f t="shared" si="6"/>
        <v>72000000</v>
      </c>
      <c r="N27" s="53">
        <f>M27</f>
        <v>72000000</v>
      </c>
      <c r="O27" s="53">
        <f>N27</f>
        <v>72000000</v>
      </c>
      <c r="P27" s="103">
        <f>O27</f>
        <v>72000000</v>
      </c>
      <c r="Q27" s="103">
        <f>P27</f>
        <v>72000000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(G31/12*5*120%-SUM(C32:F32))+P33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f>P31/12</f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9:Q14 D10:N14 C9:N9" xr:uid="{00000000-0002-0000-1800-000000000000}"/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3"/>
  <dimension ref="A1:V59"/>
  <sheetViews>
    <sheetView topLeftCell="C1" zoomScale="74" workbookViewId="0">
      <selection activeCell="O36" sqref="O36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209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5000000</v>
      </c>
      <c r="D13" s="92">
        <v>5000000</v>
      </c>
      <c r="E13" s="162">
        <v>5000000</v>
      </c>
      <c r="F13" s="92">
        <v>5000000</v>
      </c>
      <c r="G13" s="92">
        <v>5000000</v>
      </c>
      <c r="H13" s="92">
        <v>5000000</v>
      </c>
      <c r="I13" s="92">
        <v>5000000</v>
      </c>
      <c r="J13" s="92">
        <v>5000000</v>
      </c>
      <c r="K13" s="92">
        <v>5000000</v>
      </c>
      <c r="L13" s="92">
        <v>5000000</v>
      </c>
      <c r="M13" s="92">
        <v>5000000</v>
      </c>
      <c r="N13" s="92">
        <v>5000000</v>
      </c>
      <c r="O13" s="32">
        <f>SUM(C13:N13)</f>
        <v>60000000</v>
      </c>
      <c r="P13" s="123">
        <f t="shared" ref="P13:P18" si="1">Q13</f>
        <v>60000000</v>
      </c>
      <c r="Q13" s="123">
        <f>F13*12</f>
        <v>60000000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>
        <v>700000</v>
      </c>
      <c r="E16" s="92">
        <v>4260000</v>
      </c>
      <c r="F16" s="92">
        <v>625000</v>
      </c>
      <c r="G16" s="92">
        <v>1250000</v>
      </c>
      <c r="H16" s="92"/>
      <c r="I16" s="92"/>
      <c r="J16" s="92"/>
      <c r="K16" s="92">
        <v>6555000</v>
      </c>
      <c r="L16" s="92">
        <v>2600000</v>
      </c>
      <c r="M16" s="92"/>
      <c r="N16" s="92"/>
      <c r="O16" s="32">
        <f>SUM(C16:N16)</f>
        <v>15990000</v>
      </c>
      <c r="P16" s="123">
        <f t="shared" si="1"/>
        <v>7500000</v>
      </c>
      <c r="Q16" s="123">
        <f>F16*12</f>
        <v>7500000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5000000</v>
      </c>
      <c r="D19" s="37">
        <f t="shared" si="3"/>
        <v>5700000</v>
      </c>
      <c r="E19" s="37">
        <f t="shared" si="3"/>
        <v>9260000</v>
      </c>
      <c r="F19" s="37">
        <f t="shared" si="3"/>
        <v>5625000</v>
      </c>
      <c r="G19" s="37">
        <f t="shared" si="3"/>
        <v>6250000</v>
      </c>
      <c r="H19" s="37">
        <f t="shared" si="3"/>
        <v>5000000</v>
      </c>
      <c r="I19" s="37">
        <f t="shared" si="3"/>
        <v>5000000</v>
      </c>
      <c r="J19" s="37">
        <f t="shared" si="3"/>
        <v>5000000</v>
      </c>
      <c r="K19" s="37">
        <f t="shared" si="3"/>
        <v>11555000</v>
      </c>
      <c r="L19" s="37">
        <f t="shared" si="3"/>
        <v>7600000</v>
      </c>
      <c r="M19" s="37">
        <f t="shared" si="3"/>
        <v>5000000</v>
      </c>
      <c r="N19" s="37">
        <f t="shared" si="3"/>
        <v>5000000</v>
      </c>
      <c r="O19" s="38">
        <f>SUM(O13:O18)</f>
        <v>75990000</v>
      </c>
      <c r="P19" s="103">
        <f>SUM(P13:P18)</f>
        <v>67500000</v>
      </c>
      <c r="Q19" s="103">
        <f>SUM(Q13:Q18)</f>
        <v>67500000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3000000</v>
      </c>
      <c r="P20" s="110">
        <v>3000000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5000000</v>
      </c>
      <c r="D21" s="259">
        <f t="shared" ref="D21:N21" si="4">D19+D20</f>
        <v>5700000</v>
      </c>
      <c r="E21" s="259">
        <f t="shared" si="4"/>
        <v>9260000</v>
      </c>
      <c r="F21" s="259">
        <f t="shared" si="4"/>
        <v>5625000</v>
      </c>
      <c r="G21" s="259">
        <f>G19+G20</f>
        <v>6250000</v>
      </c>
      <c r="H21" s="259">
        <f t="shared" si="4"/>
        <v>5000000</v>
      </c>
      <c r="I21" s="259">
        <f t="shared" si="4"/>
        <v>5000000</v>
      </c>
      <c r="J21" s="259">
        <f t="shared" si="4"/>
        <v>5000000</v>
      </c>
      <c r="K21" s="259">
        <f t="shared" si="4"/>
        <v>11555000</v>
      </c>
      <c r="L21" s="259">
        <f t="shared" si="4"/>
        <v>7600000</v>
      </c>
      <c r="M21" s="259">
        <f t="shared" si="4"/>
        <v>5000000</v>
      </c>
      <c r="N21" s="259">
        <f t="shared" si="4"/>
        <v>5000000</v>
      </c>
      <c r="O21" s="259">
        <f>O19+O20</f>
        <v>78990000</v>
      </c>
      <c r="P21" s="103">
        <f>P19+P20</f>
        <v>70500000</v>
      </c>
      <c r="Q21" s="103">
        <f>Q19+Q20</f>
        <v>67500000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250000</v>
      </c>
      <c r="D23" s="257">
        <f t="shared" ref="D23:O23" si="5">IF(D21*5%&lt;500000,D21*5%,500000)</f>
        <v>285000</v>
      </c>
      <c r="E23" s="257">
        <f t="shared" si="5"/>
        <v>463000</v>
      </c>
      <c r="F23" s="257">
        <f t="shared" si="5"/>
        <v>281250</v>
      </c>
      <c r="G23" s="257">
        <f>IF(G21*5%&lt;500000,G21*5%,500000)</f>
        <v>312500</v>
      </c>
      <c r="H23" s="257">
        <f t="shared" si="5"/>
        <v>250000</v>
      </c>
      <c r="I23" s="257">
        <f t="shared" si="5"/>
        <v>250000</v>
      </c>
      <c r="J23" s="257">
        <f t="shared" si="5"/>
        <v>250000</v>
      </c>
      <c r="K23" s="257">
        <f t="shared" si="5"/>
        <v>500000</v>
      </c>
      <c r="L23" s="257">
        <f t="shared" si="5"/>
        <v>380000</v>
      </c>
      <c r="M23" s="257">
        <f t="shared" si="5"/>
        <v>250000</v>
      </c>
      <c r="N23" s="257">
        <f t="shared" si="5"/>
        <v>250000</v>
      </c>
      <c r="O23" s="257">
        <f>IF(O21*5%&lt;6000000,O21*5%,6000000)</f>
        <v>3949500</v>
      </c>
      <c r="P23" s="110">
        <f>IF(P21*5%&lt;6000000,P21*5%,6000000)</f>
        <v>3525000</v>
      </c>
      <c r="Q23" s="110">
        <f>IF(Q21*5%&lt;6000000,Q21*5%,6000000)</f>
        <v>3375000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250000</v>
      </c>
      <c r="D26" s="257">
        <f t="shared" si="6"/>
        <v>285000</v>
      </c>
      <c r="E26" s="257">
        <f t="shared" si="6"/>
        <v>463000</v>
      </c>
      <c r="F26" s="257">
        <f t="shared" si="6"/>
        <v>281250</v>
      </c>
      <c r="G26" s="257">
        <f>SUM(G23:G25)</f>
        <v>312500</v>
      </c>
      <c r="H26" s="257">
        <f t="shared" si="6"/>
        <v>250000</v>
      </c>
      <c r="I26" s="257">
        <f t="shared" si="6"/>
        <v>250000</v>
      </c>
      <c r="J26" s="257">
        <f t="shared" si="6"/>
        <v>250000</v>
      </c>
      <c r="K26" s="257">
        <f t="shared" si="6"/>
        <v>500000</v>
      </c>
      <c r="L26" s="257">
        <f t="shared" si="6"/>
        <v>380000</v>
      </c>
      <c r="M26" s="257">
        <f t="shared" si="6"/>
        <v>250000</v>
      </c>
      <c r="N26" s="257">
        <f t="shared" si="6"/>
        <v>250000</v>
      </c>
      <c r="O26" s="263">
        <f>SUM(O22:O25)</f>
        <v>3949500</v>
      </c>
      <c r="P26" s="103">
        <f>SUM(P23:P25)</f>
        <v>3525000</v>
      </c>
      <c r="Q26" s="103">
        <f>SUM(Q23:Q25)</f>
        <v>3375000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4750000</v>
      </c>
      <c r="D28" s="255">
        <f t="shared" ref="D28:O28" si="7">D21-D26</f>
        <v>5415000</v>
      </c>
      <c r="E28" s="255">
        <f t="shared" si="7"/>
        <v>8797000</v>
      </c>
      <c r="F28" s="255">
        <f t="shared" si="7"/>
        <v>5343750</v>
      </c>
      <c r="G28" s="255">
        <f>G21-G26</f>
        <v>5937500</v>
      </c>
      <c r="H28" s="255">
        <f t="shared" si="7"/>
        <v>4750000</v>
      </c>
      <c r="I28" s="255">
        <f t="shared" si="7"/>
        <v>4750000</v>
      </c>
      <c r="J28" s="255">
        <f t="shared" si="7"/>
        <v>4750000</v>
      </c>
      <c r="K28" s="255">
        <f t="shared" si="7"/>
        <v>11055000</v>
      </c>
      <c r="L28" s="255">
        <f t="shared" si="7"/>
        <v>7220000</v>
      </c>
      <c r="M28" s="255">
        <f t="shared" si="7"/>
        <v>4750000</v>
      </c>
      <c r="N28" s="255">
        <f t="shared" si="7"/>
        <v>4750000</v>
      </c>
      <c r="O28" s="255">
        <f t="shared" si="7"/>
        <v>75040500</v>
      </c>
      <c r="P28" s="103">
        <f>P21-P26</f>
        <v>66975000</v>
      </c>
      <c r="Q28" s="103">
        <f>Q21-Q26</f>
        <v>64125000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57000000</v>
      </c>
      <c r="D30" s="253">
        <f>SUM(C28:D28)*D10/D11</f>
        <v>60990000</v>
      </c>
      <c r="E30" s="253">
        <f>SUM(C28:E28)*E10/E11</f>
        <v>75848000</v>
      </c>
      <c r="F30" s="253">
        <f>SUM(C28:F28)*F10/F11</f>
        <v>72917250</v>
      </c>
      <c r="G30" s="253">
        <f>SUM(C28:G28)*G10/G11</f>
        <v>72583800</v>
      </c>
      <c r="H30" s="253">
        <f>SUM(C28:H28)*H10/H11</f>
        <v>69986500</v>
      </c>
      <c r="I30" s="253">
        <f>SUM(C28:I28)*I10/I11</f>
        <v>68131285.714285716</v>
      </c>
      <c r="J30" s="253">
        <f>SUM(C28:J28)*J10/J11</f>
        <v>66739875</v>
      </c>
      <c r="K30" s="253">
        <f>SUM(C28:K28)*K10/K11</f>
        <v>74064333.333333328</v>
      </c>
      <c r="L30" s="253">
        <f>SUM(C28:L28)*L10/L11</f>
        <v>75321900</v>
      </c>
      <c r="M30" s="253">
        <f>SUM(C28:M28)*M10/M11</f>
        <v>73656272.727272734</v>
      </c>
      <c r="N30" s="253">
        <f>SUM(C28:N28)*N10/N11</f>
        <v>72268250</v>
      </c>
      <c r="O30" s="254">
        <f>O28</f>
        <v>75040500</v>
      </c>
      <c r="P30" s="108">
        <f>P28</f>
        <v>66975000</v>
      </c>
      <c r="Q30" s="108">
        <f>Q28</f>
        <v>64125000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54000000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3000000</v>
      </c>
      <c r="D32" s="256">
        <f t="shared" ref="D32:O32" si="9">ROUNDDOWN(IF(D30&lt;=D31,0,IF(D30&gt;D31,D30-D31)),-3)</f>
        <v>6990000</v>
      </c>
      <c r="E32" s="256">
        <f t="shared" si="9"/>
        <v>21848000</v>
      </c>
      <c r="F32" s="256">
        <f t="shared" si="9"/>
        <v>18917000</v>
      </c>
      <c r="G32" s="256">
        <f t="shared" si="9"/>
        <v>18583000</v>
      </c>
      <c r="H32" s="256">
        <f t="shared" si="9"/>
        <v>15986000</v>
      </c>
      <c r="I32" s="256">
        <f>ROUNDDOWN(IF(I30&lt;=I31,0,IF(I30&gt;I31,I30-I31)),-3)</f>
        <v>14131000</v>
      </c>
      <c r="J32" s="256">
        <f t="shared" si="9"/>
        <v>12739000</v>
      </c>
      <c r="K32" s="256">
        <f t="shared" si="9"/>
        <v>20064000</v>
      </c>
      <c r="L32" s="256">
        <f t="shared" si="9"/>
        <v>21321000</v>
      </c>
      <c r="M32" s="256">
        <f t="shared" si="9"/>
        <v>19656000</v>
      </c>
      <c r="N32" s="256">
        <f t="shared" si="9"/>
        <v>18268000</v>
      </c>
      <c r="O32" s="256">
        <f t="shared" si="9"/>
        <v>21040000</v>
      </c>
      <c r="P32" s="103">
        <f t="shared" ref="P32:Q32" si="10">ROUNDDOWN(IF(P30&lt;=P31,0,IF(P30&gt;P31,P30-P31)),-3)</f>
        <v>12975000</v>
      </c>
      <c r="Q32" s="103">
        <f t="shared" si="10"/>
        <v>10125000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150000</v>
      </c>
      <c r="D33" s="257">
        <f t="shared" si="11"/>
        <v>349500</v>
      </c>
      <c r="E33" s="257">
        <f t="shared" si="11"/>
        <v>1092400</v>
      </c>
      <c r="F33" s="257">
        <f t="shared" si="11"/>
        <v>945850</v>
      </c>
      <c r="G33" s="257">
        <f t="shared" si="11"/>
        <v>929150</v>
      </c>
      <c r="H33" s="257">
        <f t="shared" si="11"/>
        <v>799300</v>
      </c>
      <c r="I33" s="257">
        <f t="shared" si="11"/>
        <v>706550</v>
      </c>
      <c r="J33" s="257">
        <f t="shared" si="11"/>
        <v>636950</v>
      </c>
      <c r="K33" s="257">
        <f t="shared" si="11"/>
        <v>1003200</v>
      </c>
      <c r="L33" s="257">
        <f t="shared" si="11"/>
        <v>1066050</v>
      </c>
      <c r="M33" s="257">
        <f t="shared" si="11"/>
        <v>982800</v>
      </c>
      <c r="N33" s="257">
        <f t="shared" si="11"/>
        <v>913400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IF(O32&lt;0,0,IF(O32&lt;60000000,O32*5%,IF(O32&lt;250000000,(O32-60000000)*15%+3000000,IF(O32&lt;500000000,(O32-250000000)*25%+31500000,IF(O32&lt;5000000000,(O32-500000000)*30%+94000000,IF(O32&gt;5000000000,(O32-500000000)*35%+1444000000))))))*120%</f>
        <v>1262400</v>
      </c>
      <c r="P33" s="255">
        <f>IF(P32&lt;0,0,IF(P32&lt;60000000,P32*5%,IF(P32&lt;250000000,(P32-60000000)*15%+3000000,IF(P32&lt;500000000,(P32-250000000)*25%+31500000,IF(P32&lt;5000000000,(P32-500000000)*30%+94000000,IF(P32&gt;5000000000,(P32-500000000)*35%+1444000000))))))*120%</f>
        <v>778500</v>
      </c>
      <c r="Q33" s="255">
        <f>IF(Q32&lt;0,0,IF(Q32&lt;60000000,Q32*5%,IF(Q32&lt;250000000,(Q32-60000000)*15%+3000000,IF(Q32&lt;500000000,(Q32-250000000)*25%+31500000,IF(Q32&lt;5000000000,(Q32-500000000)*30%+94000000,IF(Q32&gt;5000000000,(Q32-500000000)*35%+1444000000))))))*120%</f>
        <v>607500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150000</v>
      </c>
      <c r="D35" s="255">
        <f t="shared" ref="D35:M35" si="12">D33-D34</f>
        <v>349500</v>
      </c>
      <c r="E35" s="255">
        <f t="shared" si="12"/>
        <v>1092400</v>
      </c>
      <c r="F35" s="255">
        <f t="shared" si="12"/>
        <v>945850</v>
      </c>
      <c r="G35" s="255">
        <f t="shared" si="12"/>
        <v>929150</v>
      </c>
      <c r="H35" s="255">
        <f t="shared" si="12"/>
        <v>799300</v>
      </c>
      <c r="I35" s="255">
        <f t="shared" si="12"/>
        <v>706550</v>
      </c>
      <c r="J35" s="255">
        <f t="shared" si="12"/>
        <v>636950</v>
      </c>
      <c r="K35" s="255">
        <f t="shared" si="12"/>
        <v>1003200</v>
      </c>
      <c r="L35" s="255">
        <f t="shared" si="12"/>
        <v>1066050</v>
      </c>
      <c r="M35" s="255">
        <f t="shared" si="12"/>
        <v>982800</v>
      </c>
      <c r="N35" s="255">
        <f>N33-N34</f>
        <v>913400</v>
      </c>
      <c r="O35" s="255">
        <f>O33</f>
        <v>1262400</v>
      </c>
      <c r="P35" s="103">
        <f>P33+P34</f>
        <v>778500</v>
      </c>
      <c r="Q35" s="103">
        <f>Q33+Q34</f>
        <v>607500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15000</v>
      </c>
      <c r="D36" s="264">
        <f>(D35/D10*D11*120%)-SUM(C36)</f>
        <v>54900</v>
      </c>
      <c r="E36" s="264">
        <f>(E35/E10*E11*120%)-SUM(C36:D36)</f>
        <v>257820</v>
      </c>
      <c r="F36" s="264">
        <f>(F35/F10*F11*120%)-SUM(C36:E36)</f>
        <v>50619.999999999942</v>
      </c>
      <c r="G36" s="264">
        <f>(G35/G10*G11*120%)-SUM(C36:F36)</f>
        <v>86235.000000000116</v>
      </c>
      <c r="H36" s="264">
        <f>(H35/H10*H11*120%)-SUM(C36:G36)</f>
        <v>15004.999999999942</v>
      </c>
      <c r="I36" s="264">
        <f>(I35/I10*I11*120%)-SUM(C36:H36)</f>
        <v>15004.999999999942</v>
      </c>
      <c r="J36" s="264">
        <f>(J35/J10*J11*120%)-SUM(C36:I36)</f>
        <v>14975</v>
      </c>
      <c r="K36" s="264">
        <f>(K35/K10*K11*120%)-SUM(C36:J36)</f>
        <v>393320.00000000006</v>
      </c>
      <c r="L36" s="264">
        <f>(L35/L10*L11*120%)-SUM(C36:K36)</f>
        <v>163170</v>
      </c>
      <c r="M36" s="264">
        <f>(M35/M10*M11*120%)-SUM(C36:L36)</f>
        <v>15030</v>
      </c>
      <c r="N36" s="264">
        <f>O35-SUM(C36:M36)</f>
        <v>181320</v>
      </c>
      <c r="O36" s="259">
        <f>SUM(C36:N36)</f>
        <v>1262400</v>
      </c>
      <c r="P36" s="108">
        <f>P35/12</f>
        <v>64875</v>
      </c>
      <c r="Q36" s="108">
        <f>Q35/12</f>
        <v>50625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171000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221625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3">C21-C25-C36</f>
        <v>4985000</v>
      </c>
      <c r="D41" s="50">
        <f t="shared" si="13"/>
        <v>5645100</v>
      </c>
      <c r="E41" s="50">
        <f t="shared" si="13"/>
        <v>9002180</v>
      </c>
      <c r="F41" s="50">
        <f t="shared" si="13"/>
        <v>5574380</v>
      </c>
      <c r="G41" s="50">
        <f t="shared" si="13"/>
        <v>6163765</v>
      </c>
      <c r="H41" s="50">
        <f t="shared" si="13"/>
        <v>4984995</v>
      </c>
      <c r="I41" s="50">
        <f t="shared" si="13"/>
        <v>4984995</v>
      </c>
      <c r="J41" s="50">
        <f t="shared" si="13"/>
        <v>4985025</v>
      </c>
      <c r="K41" s="50">
        <f>K21-K25-K36</f>
        <v>11161680</v>
      </c>
      <c r="L41" s="50">
        <f>L21-L25-L36</f>
        <v>7436830</v>
      </c>
      <c r="M41" s="50">
        <f>M21-M25-M36</f>
        <v>4984970</v>
      </c>
      <c r="N41" s="50">
        <f>N21-N25-N36</f>
        <v>4818680</v>
      </c>
      <c r="O41" s="50">
        <f>O21-O25-O36-O38</f>
        <v>77727600</v>
      </c>
      <c r="P41" s="126">
        <f>P21-P25-P36</f>
        <v>70435125</v>
      </c>
      <c r="Q41" s="126">
        <f>Q21-Q25-Q36</f>
        <v>67449375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disablePrompts="1"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1900-000000000000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">
    <tabColor rgb="FFC00000"/>
  </sheetPr>
  <dimension ref="A1:V59"/>
  <sheetViews>
    <sheetView topLeftCell="C1" zoomScale="83" zoomScaleNormal="100" workbookViewId="0">
      <selection activeCell="P37" sqref="P37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93" bestFit="1" customWidth="1"/>
    <col min="6" max="6" width="14.28515625" style="93" customWidth="1"/>
    <col min="7" max="7" width="16.42578125" style="93" customWidth="1"/>
    <col min="8" max="8" width="14.140625" style="93" customWidth="1"/>
    <col min="9" max="11" width="13.42578125" style="93" bestFit="1" customWidth="1"/>
    <col min="12" max="12" width="13.42578125" style="93" customWidth="1"/>
    <col min="13" max="13" width="13.42578125" style="93" bestFit="1" customWidth="1"/>
    <col min="14" max="14" width="14.7109375" style="93" customWidth="1"/>
    <col min="15" max="15" width="14" style="93" bestFit="1" customWidth="1"/>
    <col min="16" max="17" width="14.5703125" style="128" customWidth="1"/>
    <col min="18" max="18" width="13" style="3" customWidth="1"/>
    <col min="19" max="16384" width="9.140625" style="3"/>
  </cols>
  <sheetData>
    <row r="1" spans="1:17" x14ac:dyDescent="0.25">
      <c r="A1" s="6" t="s">
        <v>52</v>
      </c>
      <c r="B1" s="4" t="s">
        <v>91</v>
      </c>
      <c r="C1" s="18"/>
      <c r="D1" s="18"/>
      <c r="E1" s="18"/>
      <c r="F1" s="18"/>
      <c r="G1" s="18"/>
      <c r="H1" s="18"/>
      <c r="I1" s="18"/>
      <c r="J1" s="18"/>
      <c r="K1" s="18"/>
      <c r="O1" s="18"/>
      <c r="P1" s="94"/>
      <c r="Q1" s="94"/>
    </row>
    <row r="2" spans="1:17" x14ac:dyDescent="0.25">
      <c r="A2" s="6" t="s">
        <v>38</v>
      </c>
      <c r="B2" s="4"/>
      <c r="C2" s="18"/>
      <c r="D2" s="18"/>
      <c r="E2" s="18"/>
      <c r="F2" s="18"/>
      <c r="G2" s="18"/>
      <c r="H2" s="18"/>
      <c r="I2" s="18"/>
      <c r="J2" s="18"/>
      <c r="K2" s="18"/>
      <c r="O2" s="18"/>
      <c r="P2" s="94"/>
      <c r="Q2" s="94"/>
    </row>
    <row r="3" spans="1:17" x14ac:dyDescent="0.25">
      <c r="A3" s="6" t="s">
        <v>53</v>
      </c>
      <c r="B3" s="4" t="s">
        <v>64</v>
      </c>
      <c r="C3" s="18"/>
      <c r="D3" s="18"/>
      <c r="E3" s="18"/>
      <c r="F3" s="18"/>
      <c r="G3" s="18"/>
      <c r="H3" s="18"/>
      <c r="I3" s="18"/>
      <c r="J3" s="18"/>
      <c r="K3" s="18"/>
      <c r="O3" s="18"/>
      <c r="P3" s="94"/>
      <c r="Q3" s="94"/>
    </row>
    <row r="4" spans="1:17" x14ac:dyDescent="0.25">
      <c r="A4" s="5" t="s">
        <v>36</v>
      </c>
      <c r="B4" s="17" t="s">
        <v>100</v>
      </c>
      <c r="C4" s="18"/>
      <c r="D4" s="18"/>
      <c r="E4" s="18"/>
      <c r="F4" s="18"/>
      <c r="G4" s="18"/>
      <c r="H4" s="18"/>
      <c r="I4" s="18"/>
      <c r="J4" s="18"/>
      <c r="K4" s="18"/>
      <c r="O4" s="18"/>
      <c r="P4" s="94"/>
      <c r="Q4" s="94"/>
    </row>
    <row r="5" spans="1:17" x14ac:dyDescent="0.25">
      <c r="A5" s="6" t="s">
        <v>77</v>
      </c>
      <c r="B5" s="4" t="s">
        <v>101</v>
      </c>
      <c r="C5" s="18"/>
      <c r="D5" s="18"/>
      <c r="E5" s="18"/>
      <c r="F5" s="18"/>
      <c r="G5" s="18"/>
      <c r="H5" s="18"/>
      <c r="I5" s="18"/>
      <c r="J5" s="18"/>
      <c r="K5" s="18"/>
      <c r="O5" s="18"/>
      <c r="P5" s="94"/>
      <c r="Q5" s="94"/>
    </row>
    <row r="6" spans="1:17" x14ac:dyDescent="0.25">
      <c r="A6" s="6"/>
      <c r="B6" s="4"/>
      <c r="C6" s="18"/>
      <c r="D6" s="18"/>
      <c r="E6" s="18"/>
      <c r="F6" s="18"/>
      <c r="G6" s="18"/>
      <c r="H6" s="18"/>
      <c r="I6" s="18"/>
      <c r="J6" s="18"/>
      <c r="K6" s="18"/>
      <c r="O6" s="18"/>
      <c r="P6" s="94"/>
      <c r="Q6" s="94"/>
    </row>
    <row r="7" spans="1:17" x14ac:dyDescent="0.25">
      <c r="A7" s="6"/>
      <c r="B7" s="4"/>
      <c r="C7" s="18"/>
      <c r="D7" s="18"/>
      <c r="E7" s="18"/>
      <c r="F7" s="18"/>
      <c r="G7" s="18"/>
      <c r="H7" s="18"/>
      <c r="I7" s="18"/>
      <c r="J7" s="18"/>
      <c r="K7" s="18"/>
      <c r="O7" s="18"/>
      <c r="P7" s="94"/>
      <c r="Q7" s="94"/>
    </row>
    <row r="8" spans="1:17" x14ac:dyDescent="0.25">
      <c r="A8" s="6"/>
      <c r="B8" s="4"/>
      <c r="C8" s="18"/>
      <c r="D8" s="18"/>
      <c r="E8" s="18"/>
      <c r="F8" s="18"/>
      <c r="G8" s="18"/>
      <c r="H8" s="18"/>
      <c r="I8" s="18"/>
      <c r="J8" s="18"/>
      <c r="K8" s="18"/>
      <c r="O8" s="18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97" t="s">
        <v>39</v>
      </c>
      <c r="D12" s="97" t="s">
        <v>40</v>
      </c>
      <c r="E12" s="97" t="s">
        <v>41</v>
      </c>
      <c r="F12" s="97" t="s">
        <v>2</v>
      </c>
      <c r="G12" s="97" t="s">
        <v>42</v>
      </c>
      <c r="H12" s="97" t="s">
        <v>43</v>
      </c>
      <c r="I12" s="97" t="s">
        <v>44</v>
      </c>
      <c r="J12" s="97" t="s">
        <v>45</v>
      </c>
      <c r="K12" s="97" t="s">
        <v>46</v>
      </c>
      <c r="L12" s="97" t="s">
        <v>47</v>
      </c>
      <c r="M12" s="97" t="s">
        <v>48</v>
      </c>
      <c r="N12" s="97" t="s">
        <v>49</v>
      </c>
      <c r="O12" s="97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98">
        <v>5000000</v>
      </c>
      <c r="D13" s="98">
        <v>5000000</v>
      </c>
      <c r="E13" s="162">
        <v>5000000</v>
      </c>
      <c r="F13" s="98">
        <v>5000000</v>
      </c>
      <c r="G13" s="98">
        <v>5000000</v>
      </c>
      <c r="H13" s="98">
        <v>5000000</v>
      </c>
      <c r="I13" s="98">
        <v>5000000</v>
      </c>
      <c r="J13" s="98">
        <v>5000000</v>
      </c>
      <c r="K13" s="98">
        <v>5000000</v>
      </c>
      <c r="L13" s="98">
        <v>5000000</v>
      </c>
      <c r="M13" s="98">
        <v>5000000</v>
      </c>
      <c r="N13" s="98">
        <v>5000000</v>
      </c>
      <c r="O13" s="98">
        <f>SUM(C13:N13)</f>
        <v>60000000</v>
      </c>
      <c r="P13" s="123">
        <f t="shared" ref="P13:P18" si="1">Q13</f>
        <v>60000000</v>
      </c>
      <c r="Q13" s="123">
        <f>F13*12</f>
        <v>60000000</v>
      </c>
    </row>
    <row r="14" spans="1:17" ht="20.100000000000001" customHeight="1" x14ac:dyDescent="0.25">
      <c r="A14" s="30">
        <v>2</v>
      </c>
      <c r="B14" s="31" t="s">
        <v>10</v>
      </c>
      <c r="C14" s="99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99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99">
        <v>7850000</v>
      </c>
      <c r="D16" s="98">
        <v>1650000</v>
      </c>
      <c r="E16" s="98">
        <v>13610000</v>
      </c>
      <c r="F16" s="98">
        <v>13900000</v>
      </c>
      <c r="G16" s="98">
        <v>8375000</v>
      </c>
      <c r="H16" s="98">
        <v>1200000</v>
      </c>
      <c r="I16" s="98"/>
      <c r="J16" s="98">
        <v>2400000</v>
      </c>
      <c r="K16" s="98">
        <v>11495000</v>
      </c>
      <c r="L16" s="98">
        <v>4653000</v>
      </c>
      <c r="M16" s="98"/>
      <c r="N16" s="98">
        <v>4775000</v>
      </c>
      <c r="O16" s="98">
        <f>SUM(C16:N16)</f>
        <v>69908000</v>
      </c>
      <c r="P16" s="123">
        <f t="shared" si="1"/>
        <v>166800000</v>
      </c>
      <c r="Q16" s="123">
        <f>F16*12</f>
        <v>166800000</v>
      </c>
    </row>
    <row r="17" spans="1:22" ht="20.100000000000001" customHeight="1" x14ac:dyDescent="0.25">
      <c r="A17" s="30">
        <v>5</v>
      </c>
      <c r="B17" s="31" t="s">
        <v>13</v>
      </c>
      <c r="C17" s="99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99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124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100">
        <f t="shared" ref="C19:N19" si="3">SUM(C13:C18)</f>
        <v>12850000</v>
      </c>
      <c r="D19" s="100">
        <f t="shared" si="3"/>
        <v>6650000</v>
      </c>
      <c r="E19" s="100">
        <f t="shared" si="3"/>
        <v>18610000</v>
      </c>
      <c r="F19" s="100">
        <f t="shared" si="3"/>
        <v>18900000</v>
      </c>
      <c r="G19" s="100">
        <f t="shared" si="3"/>
        <v>13375000</v>
      </c>
      <c r="H19" s="100">
        <f t="shared" si="3"/>
        <v>6200000</v>
      </c>
      <c r="I19" s="100">
        <f t="shared" si="3"/>
        <v>5000000</v>
      </c>
      <c r="J19" s="100">
        <f t="shared" si="3"/>
        <v>7400000</v>
      </c>
      <c r="K19" s="100">
        <f t="shared" si="3"/>
        <v>16495000</v>
      </c>
      <c r="L19" s="100">
        <f t="shared" si="3"/>
        <v>9653000</v>
      </c>
      <c r="M19" s="100">
        <f t="shared" si="3"/>
        <v>5000000</v>
      </c>
      <c r="N19" s="100">
        <f t="shared" si="3"/>
        <v>9775000</v>
      </c>
      <c r="O19" s="101">
        <f>SUM(O13:O18)</f>
        <v>129908000</v>
      </c>
      <c r="P19" s="103">
        <f>SUM(P13:P18)</f>
        <v>226800000</v>
      </c>
      <c r="Q19" s="103">
        <f>SUM(Q13:Q18)</f>
        <v>226800000</v>
      </c>
    </row>
    <row r="20" spans="1:22" ht="20.100000000000001" customHeight="1" x14ac:dyDescent="0.25">
      <c r="A20" s="30">
        <v>8</v>
      </c>
      <c r="B20" s="31" t="s">
        <v>16</v>
      </c>
      <c r="C20" s="99"/>
      <c r="D20" s="99"/>
      <c r="E20" s="99"/>
      <c r="F20" s="99"/>
      <c r="G20" s="99"/>
      <c r="H20" s="99"/>
      <c r="I20" s="99"/>
      <c r="J20" s="99"/>
      <c r="K20" s="102"/>
      <c r="L20" s="102"/>
      <c r="M20" s="102"/>
      <c r="N20" s="102"/>
      <c r="O20" s="98">
        <v>5000000</v>
      </c>
      <c r="P20" s="110">
        <v>5000000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12850000</v>
      </c>
      <c r="D21" s="259">
        <f>D19+D20</f>
        <v>6650000</v>
      </c>
      <c r="E21" s="259">
        <f t="shared" ref="D21:N21" si="4">E19+E20</f>
        <v>18610000</v>
      </c>
      <c r="F21" s="259">
        <f t="shared" si="4"/>
        <v>18900000</v>
      </c>
      <c r="G21" s="259">
        <f>G19+G20</f>
        <v>13375000</v>
      </c>
      <c r="H21" s="259">
        <f t="shared" si="4"/>
        <v>6200000</v>
      </c>
      <c r="I21" s="259">
        <f t="shared" si="4"/>
        <v>5000000</v>
      </c>
      <c r="J21" s="259">
        <f t="shared" si="4"/>
        <v>7400000</v>
      </c>
      <c r="K21" s="259">
        <f t="shared" si="4"/>
        <v>16495000</v>
      </c>
      <c r="L21" s="259">
        <f t="shared" si="4"/>
        <v>9653000</v>
      </c>
      <c r="M21" s="259">
        <f t="shared" si="4"/>
        <v>5000000</v>
      </c>
      <c r="N21" s="259">
        <f t="shared" si="4"/>
        <v>9775000</v>
      </c>
      <c r="O21" s="259">
        <f>O19+O20</f>
        <v>134908000</v>
      </c>
      <c r="P21" s="103">
        <f>P19+P20</f>
        <v>231800000</v>
      </c>
      <c r="Q21" s="103">
        <f>Q19+Q20</f>
        <v>226800000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500000</v>
      </c>
      <c r="D23" s="257">
        <f t="shared" ref="D23:O23" si="5">IF(D21*5%&lt;500000,D21*5%,500000)</f>
        <v>332500</v>
      </c>
      <c r="E23" s="257">
        <f t="shared" si="5"/>
        <v>500000</v>
      </c>
      <c r="F23" s="257">
        <f t="shared" si="5"/>
        <v>500000</v>
      </c>
      <c r="G23" s="257">
        <f>IF(G21*5%&lt;500000,G21*5%,500000)</f>
        <v>500000</v>
      </c>
      <c r="H23" s="257">
        <f t="shared" si="5"/>
        <v>310000</v>
      </c>
      <c r="I23" s="257">
        <f t="shared" si="5"/>
        <v>250000</v>
      </c>
      <c r="J23" s="257">
        <f t="shared" si="5"/>
        <v>370000</v>
      </c>
      <c r="K23" s="257">
        <f t="shared" si="5"/>
        <v>500000</v>
      </c>
      <c r="L23" s="257">
        <f t="shared" si="5"/>
        <v>482650</v>
      </c>
      <c r="M23" s="257">
        <f t="shared" si="5"/>
        <v>250000</v>
      </c>
      <c r="N23" s="257">
        <f t="shared" si="5"/>
        <v>488750</v>
      </c>
      <c r="O23" s="257">
        <f>IF(O21*5%&lt;6000000,O21*5%,6000000)</f>
        <v>6000000</v>
      </c>
      <c r="P23" s="110">
        <f>IF(P21*5%&lt;6000000,P21*5%,6000000)</f>
        <v>6000000</v>
      </c>
      <c r="Q23" s="110">
        <f>IF(Q21*5%&lt;6000000,Q21*5%,6000000)</f>
        <v>6000000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500000</v>
      </c>
      <c r="D26" s="257">
        <f t="shared" si="6"/>
        <v>332500</v>
      </c>
      <c r="E26" s="257">
        <f t="shared" si="6"/>
        <v>500000</v>
      </c>
      <c r="F26" s="257">
        <f t="shared" si="6"/>
        <v>500000</v>
      </c>
      <c r="G26" s="257">
        <f>SUM(G23:G25)</f>
        <v>500000</v>
      </c>
      <c r="H26" s="257">
        <f t="shared" si="6"/>
        <v>310000</v>
      </c>
      <c r="I26" s="257">
        <f t="shared" si="6"/>
        <v>250000</v>
      </c>
      <c r="J26" s="257">
        <f t="shared" si="6"/>
        <v>370000</v>
      </c>
      <c r="K26" s="257">
        <f t="shared" si="6"/>
        <v>500000</v>
      </c>
      <c r="L26" s="257">
        <f t="shared" si="6"/>
        <v>482650</v>
      </c>
      <c r="M26" s="257">
        <f t="shared" si="6"/>
        <v>250000</v>
      </c>
      <c r="N26" s="257">
        <f t="shared" si="6"/>
        <v>488750</v>
      </c>
      <c r="O26" s="263">
        <f>SUM(O22:O25)</f>
        <v>6000000</v>
      </c>
      <c r="P26" s="103">
        <f>SUM(P23:P25)</f>
        <v>6000000</v>
      </c>
      <c r="Q26" s="103">
        <f>SUM(Q23:Q25)</f>
        <v>6000000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12350000</v>
      </c>
      <c r="D28" s="255">
        <f t="shared" ref="D28:O28" si="7">D21-D26</f>
        <v>6317500</v>
      </c>
      <c r="E28" s="255">
        <f t="shared" si="7"/>
        <v>18110000</v>
      </c>
      <c r="F28" s="255">
        <f t="shared" si="7"/>
        <v>18400000</v>
      </c>
      <c r="G28" s="255">
        <f>G21-G26</f>
        <v>12875000</v>
      </c>
      <c r="H28" s="255">
        <f t="shared" si="7"/>
        <v>5890000</v>
      </c>
      <c r="I28" s="255">
        <f t="shared" si="7"/>
        <v>4750000</v>
      </c>
      <c r="J28" s="255">
        <f t="shared" si="7"/>
        <v>7030000</v>
      </c>
      <c r="K28" s="255">
        <f t="shared" si="7"/>
        <v>15995000</v>
      </c>
      <c r="L28" s="255">
        <f t="shared" si="7"/>
        <v>9170350</v>
      </c>
      <c r="M28" s="255">
        <f t="shared" si="7"/>
        <v>4750000</v>
      </c>
      <c r="N28" s="255">
        <f t="shared" si="7"/>
        <v>9286250</v>
      </c>
      <c r="O28" s="255">
        <f t="shared" si="7"/>
        <v>128908000</v>
      </c>
      <c r="P28" s="103">
        <f>P21-P26</f>
        <v>225800000</v>
      </c>
      <c r="Q28" s="103">
        <f>Q21-Q26</f>
        <v>220800000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148200000</v>
      </c>
      <c r="D30" s="253">
        <f>SUM(C28:D28)*D10/D11</f>
        <v>112005000</v>
      </c>
      <c r="E30" s="253">
        <f>SUM(C28:E28)*E10/E11</f>
        <v>147110000</v>
      </c>
      <c r="F30" s="253">
        <f>SUM(C28:F28)*F10/F11</f>
        <v>165532500</v>
      </c>
      <c r="G30" s="253">
        <f>SUM(C28:G28)*G10/G11</f>
        <v>163326000</v>
      </c>
      <c r="H30" s="253">
        <f>SUM(C28:H28)*H10/H11</f>
        <v>147885000</v>
      </c>
      <c r="I30" s="253">
        <f>SUM(C28:I28)*I10/I11</f>
        <v>134901428.57142857</v>
      </c>
      <c r="J30" s="253">
        <f>SUM(C28:J28)*J10/J11</f>
        <v>128583750</v>
      </c>
      <c r="K30" s="253">
        <f>SUM(C28:K28)*K10/K11</f>
        <v>135623333.33333334</v>
      </c>
      <c r="L30" s="253">
        <f>SUM(C28:L28)*L10/L11</f>
        <v>133065420</v>
      </c>
      <c r="M30" s="253">
        <f>SUM(C28:M28)*M10/M11</f>
        <v>126150381.81818181</v>
      </c>
      <c r="N30" s="253">
        <f>SUM(C28:N28)*N10/N11</f>
        <v>124924100</v>
      </c>
      <c r="O30" s="254">
        <f>O28</f>
        <v>128908000</v>
      </c>
      <c r="P30" s="108">
        <f>P28</f>
        <v>225800000</v>
      </c>
      <c r="Q30" s="108">
        <f>Q28</f>
        <v>220800000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76200000</v>
      </c>
      <c r="D32" s="256">
        <f t="shared" ref="D32:O32" si="9">ROUNDDOWN(IF(D30&lt;=D31,0,IF(D30&gt;D31,D30-D31)),-3)</f>
        <v>40005000</v>
      </c>
      <c r="E32" s="256">
        <f t="shared" si="9"/>
        <v>75110000</v>
      </c>
      <c r="F32" s="256">
        <f t="shared" si="9"/>
        <v>93532000</v>
      </c>
      <c r="G32" s="256">
        <f t="shared" si="9"/>
        <v>91326000</v>
      </c>
      <c r="H32" s="256">
        <f t="shared" si="9"/>
        <v>75885000</v>
      </c>
      <c r="I32" s="256">
        <f>ROUNDDOWN(IF(I30&lt;=I31,0,IF(I30&gt;I31,I30-I31)),-3)</f>
        <v>62901000</v>
      </c>
      <c r="J32" s="256">
        <f t="shared" si="9"/>
        <v>56583000</v>
      </c>
      <c r="K32" s="256">
        <f t="shared" si="9"/>
        <v>63623000</v>
      </c>
      <c r="L32" s="256">
        <f t="shared" si="9"/>
        <v>61065000</v>
      </c>
      <c r="M32" s="256">
        <f t="shared" si="9"/>
        <v>54150000</v>
      </c>
      <c r="N32" s="256">
        <f t="shared" si="9"/>
        <v>52924000</v>
      </c>
      <c r="O32" s="256">
        <f t="shared" si="9"/>
        <v>56908000</v>
      </c>
      <c r="P32" s="103">
        <f t="shared" ref="P32:Q32" si="10">ROUNDDOWN(IF(P30&lt;=P31,0,IF(P30&gt;P31,P30-P31)),-3)</f>
        <v>153800000</v>
      </c>
      <c r="Q32" s="103">
        <f t="shared" si="10"/>
        <v>148800000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Q33" si="11">IF(C32&lt;0,0,IF(C32&lt;60000000,C32*5%,IF(C32&lt;250000000,(C32-60000000)*15%+3000000,IF(C32&lt;500000000,(C32-250000000)*25%+31500000,IF(C32&lt;5000000000,(C32-500000000)*30%+94000000,IF(C32&gt;5000000000,(C32-500000000)*35%+1444000000))))))</f>
        <v>5430000</v>
      </c>
      <c r="D33" s="257">
        <f t="shared" si="11"/>
        <v>2000250</v>
      </c>
      <c r="E33" s="257">
        <f t="shared" si="11"/>
        <v>5266500</v>
      </c>
      <c r="F33" s="257">
        <f t="shared" si="11"/>
        <v>8029800</v>
      </c>
      <c r="G33" s="257">
        <f t="shared" si="11"/>
        <v>7698900</v>
      </c>
      <c r="H33" s="257">
        <f t="shared" si="11"/>
        <v>5382750</v>
      </c>
      <c r="I33" s="257">
        <f t="shared" si="11"/>
        <v>3435150</v>
      </c>
      <c r="J33" s="257">
        <f t="shared" si="11"/>
        <v>2829150</v>
      </c>
      <c r="K33" s="257">
        <f t="shared" si="11"/>
        <v>3543450</v>
      </c>
      <c r="L33" s="257">
        <f t="shared" si="11"/>
        <v>3159750</v>
      </c>
      <c r="M33" s="257">
        <f t="shared" si="11"/>
        <v>2707500</v>
      </c>
      <c r="N33" s="257">
        <f t="shared" si="11"/>
        <v>2646200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2845400</v>
      </c>
      <c r="P33" s="255">
        <f t="shared" si="11"/>
        <v>17070000</v>
      </c>
      <c r="Q33" s="255">
        <f t="shared" si="11"/>
        <v>16320000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5430000</v>
      </c>
      <c r="D35" s="255">
        <f t="shared" ref="D35:M35" si="12">D33-D34</f>
        <v>2000250</v>
      </c>
      <c r="E35" s="255">
        <f t="shared" si="12"/>
        <v>5266500</v>
      </c>
      <c r="F35" s="255">
        <f t="shared" si="12"/>
        <v>8029800</v>
      </c>
      <c r="G35" s="255">
        <f t="shared" si="12"/>
        <v>7698900</v>
      </c>
      <c r="H35" s="255">
        <f t="shared" si="12"/>
        <v>5382750</v>
      </c>
      <c r="I35" s="255">
        <f t="shared" si="12"/>
        <v>3435150</v>
      </c>
      <c r="J35" s="255">
        <f t="shared" si="12"/>
        <v>2829150</v>
      </c>
      <c r="K35" s="255">
        <f t="shared" si="12"/>
        <v>3543450</v>
      </c>
      <c r="L35" s="255">
        <f t="shared" si="12"/>
        <v>3159750</v>
      </c>
      <c r="M35" s="255">
        <f t="shared" si="12"/>
        <v>2707500</v>
      </c>
      <c r="N35" s="255">
        <f>N33-N34</f>
        <v>2646200</v>
      </c>
      <c r="O35" s="255">
        <f>O33</f>
        <v>2845400</v>
      </c>
      <c r="P35" s="103">
        <f>P33+P34</f>
        <v>17070000</v>
      </c>
      <c r="Q35" s="103">
        <f>Q33+Q34</f>
        <v>16320000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</f>
        <v>452500</v>
      </c>
      <c r="D36" s="264">
        <f>(D35/D10*D11-SUM(C36))</f>
        <v>-119125</v>
      </c>
      <c r="E36" s="264">
        <f>(E35/E10*E11-SUM(C36:D36))</f>
        <v>983250</v>
      </c>
      <c r="F36" s="264">
        <f>(F35/F10*F11-SUM(C36:E36))</f>
        <v>1359975</v>
      </c>
      <c r="G36" s="264">
        <f>(G35/G10*G11-SUM(C36:F36))</f>
        <v>531275</v>
      </c>
      <c r="H36" s="264">
        <f>(H35/H10*H11-SUM(C36:G36))</f>
        <v>-516500</v>
      </c>
      <c r="I36" s="264">
        <f>(I35/I10*I11-SUM(C36:H36))</f>
        <v>-687537.5</v>
      </c>
      <c r="J36" s="264">
        <f>(J35/J10*J11-SUM(C36:I36))</f>
        <v>-117737.5</v>
      </c>
      <c r="K36" s="264">
        <f>(K35/K10*K11-SUM(C36:J36))</f>
        <v>771487.5</v>
      </c>
      <c r="L36" s="264">
        <f>(L35/L10*L11-SUM(C36:K36))</f>
        <v>-24462.5</v>
      </c>
      <c r="M36" s="264">
        <f>(M35/M10*M11-SUM(C36:L36))</f>
        <v>-151250</v>
      </c>
      <c r="N36" s="264">
        <f>O35-SUM(C36:M36)</f>
        <v>363525</v>
      </c>
      <c r="O36" s="259">
        <f>SUM(C36:N36)</f>
        <v>2845400</v>
      </c>
      <c r="P36" s="108">
        <f>P35/12</f>
        <v>1422500</v>
      </c>
      <c r="Q36" s="108">
        <f>Q35/12</f>
        <v>1360000</v>
      </c>
      <c r="R36" s="131">
        <f>O35-O36</f>
        <v>0</v>
      </c>
    </row>
    <row r="37" spans="1:22" s="60" customFormat="1" ht="20.100000000000001" customHeight="1" x14ac:dyDescent="0.25">
      <c r="A37" s="57"/>
      <c r="B37" s="58" t="s">
        <v>81</v>
      </c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9" t="s">
        <v>82</v>
      </c>
      <c r="P37" s="129">
        <f>P35-Q35</f>
        <v>750000</v>
      </c>
      <c r="Q37" s="110">
        <v>0</v>
      </c>
      <c r="R37" s="131"/>
    </row>
    <row r="38" spans="1:22" x14ac:dyDescent="0.25">
      <c r="A38" s="47"/>
      <c r="B38" s="31" t="s">
        <v>33</v>
      </c>
      <c r="C38" s="99"/>
      <c r="D38" s="99"/>
      <c r="E38" s="99"/>
      <c r="F38" s="99"/>
      <c r="G38" s="99"/>
      <c r="H38" s="99"/>
      <c r="I38" s="99"/>
      <c r="J38" s="99"/>
      <c r="K38" s="102"/>
      <c r="L38" s="102"/>
      <c r="M38" s="102"/>
      <c r="N38" s="111"/>
      <c r="O38" s="112"/>
      <c r="P38" s="129">
        <v>0</v>
      </c>
      <c r="Q38" s="110"/>
      <c r="R38" s="272"/>
    </row>
    <row r="39" spans="1:22" ht="20.100000000000001" customHeight="1" x14ac:dyDescent="0.25">
      <c r="A39" s="47"/>
      <c r="B39" s="31" t="s">
        <v>75</v>
      </c>
      <c r="C39" s="99"/>
      <c r="D39" s="99"/>
      <c r="E39" s="99"/>
      <c r="F39" s="99"/>
      <c r="G39" s="99"/>
      <c r="H39" s="99"/>
      <c r="I39" s="99"/>
      <c r="J39" s="99"/>
      <c r="K39" s="102"/>
      <c r="L39" s="102"/>
      <c r="M39" s="102"/>
      <c r="N39" s="111"/>
      <c r="O39" s="112"/>
      <c r="P39" s="132">
        <f>P37+Q36-P38</f>
        <v>2110000</v>
      </c>
      <c r="Q39" s="110"/>
      <c r="R39" s="272"/>
    </row>
    <row r="40" spans="1:22" ht="20.100000000000001" customHeight="1" x14ac:dyDescent="0.25">
      <c r="A40" s="47"/>
      <c r="B40" s="31" t="s">
        <v>76</v>
      </c>
      <c r="C40" s="99"/>
      <c r="D40" s="99"/>
      <c r="E40" s="99"/>
      <c r="F40" s="99"/>
      <c r="G40" s="99"/>
      <c r="H40" s="99"/>
      <c r="I40" s="99"/>
      <c r="J40" s="99"/>
      <c r="K40" s="102"/>
      <c r="L40" s="102"/>
      <c r="M40" s="102"/>
      <c r="N40" s="111"/>
      <c r="O40" s="112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113">
        <f t="shared" ref="C41:J41" si="13">C21-C25-C36</f>
        <v>12397500</v>
      </c>
      <c r="D41" s="113">
        <f t="shared" si="13"/>
        <v>6769125</v>
      </c>
      <c r="E41" s="113">
        <f t="shared" si="13"/>
        <v>17626750</v>
      </c>
      <c r="F41" s="113">
        <f t="shared" si="13"/>
        <v>17540025</v>
      </c>
      <c r="G41" s="113">
        <f t="shared" si="13"/>
        <v>12843725</v>
      </c>
      <c r="H41" s="113">
        <f t="shared" si="13"/>
        <v>6716500</v>
      </c>
      <c r="I41" s="113">
        <f t="shared" si="13"/>
        <v>5687537.5</v>
      </c>
      <c r="J41" s="113">
        <f t="shared" si="13"/>
        <v>7517737.5</v>
      </c>
      <c r="K41" s="113">
        <f>K21-K25-K36</f>
        <v>15723512.5</v>
      </c>
      <c r="L41" s="113">
        <f>L21-L25-L36</f>
        <v>9677462.5</v>
      </c>
      <c r="M41" s="113">
        <f>M21-M25-M36</f>
        <v>5151250</v>
      </c>
      <c r="N41" s="113">
        <f>N21-N25-N36</f>
        <v>9411475</v>
      </c>
      <c r="O41" s="113">
        <f>O21-O25-O36-O38</f>
        <v>132062600</v>
      </c>
      <c r="P41" s="126">
        <f>P21-P25-P36</f>
        <v>230377500</v>
      </c>
      <c r="Q41" s="126">
        <f>Q21-Q25-Q36</f>
        <v>225440000</v>
      </c>
    </row>
    <row r="42" spans="1:22" x14ac:dyDescent="0.25">
      <c r="C42" s="18"/>
      <c r="D42" s="18"/>
      <c r="E42" s="18"/>
      <c r="F42" s="18"/>
      <c r="G42" s="18"/>
      <c r="H42" s="18"/>
      <c r="I42" s="18"/>
      <c r="J42" s="18"/>
      <c r="K42" s="18"/>
      <c r="O42" s="18"/>
      <c r="P42" s="114"/>
      <c r="Q42" s="114"/>
    </row>
    <row r="43" spans="1:22" x14ac:dyDescent="0.25">
      <c r="C43" s="18"/>
      <c r="D43" s="18"/>
      <c r="E43" s="18"/>
      <c r="F43" s="18"/>
      <c r="G43" s="18"/>
      <c r="H43" s="18"/>
      <c r="I43" s="18"/>
      <c r="J43" s="18"/>
      <c r="K43" s="18"/>
      <c r="O43" s="18"/>
      <c r="P43" s="114"/>
      <c r="Q43" s="114"/>
    </row>
    <row r="44" spans="1:22" x14ac:dyDescent="0.25">
      <c r="C44" s="18"/>
      <c r="D44" s="18"/>
      <c r="E44" s="18"/>
      <c r="F44" s="18"/>
      <c r="G44" s="18"/>
      <c r="H44" s="18"/>
      <c r="I44" s="18"/>
      <c r="J44" s="18"/>
      <c r="K44" s="18"/>
      <c r="O44" s="18"/>
      <c r="P44" s="114"/>
      <c r="Q44" s="114"/>
    </row>
    <row r="45" spans="1:22" x14ac:dyDescent="0.25">
      <c r="C45" s="18"/>
      <c r="D45" s="18"/>
      <c r="E45" s="18"/>
      <c r="F45" s="18"/>
      <c r="G45" s="18"/>
      <c r="H45" s="18"/>
      <c r="I45" s="18"/>
      <c r="J45" s="18"/>
      <c r="K45" s="18"/>
      <c r="O45" s="18"/>
      <c r="P45" s="114"/>
      <c r="Q45" s="114"/>
    </row>
    <row r="46" spans="1:22" x14ac:dyDescent="0.25">
      <c r="C46" s="18"/>
      <c r="D46" s="18"/>
      <c r="E46" s="18"/>
      <c r="F46" s="18"/>
      <c r="G46" s="18"/>
      <c r="H46" s="18"/>
      <c r="I46" s="18"/>
      <c r="J46" s="18"/>
      <c r="K46" s="18"/>
      <c r="O46" s="18"/>
      <c r="P46" s="114"/>
      <c r="Q46" s="114"/>
    </row>
    <row r="47" spans="1:22" s="62" customFormat="1" x14ac:dyDescent="0.25">
      <c r="B47" s="63" t="s">
        <v>65</v>
      </c>
      <c r="C47" s="115" t="s">
        <v>66</v>
      </c>
      <c r="D47" s="116"/>
      <c r="E47" s="116"/>
      <c r="F47" s="116"/>
      <c r="G47" s="116"/>
      <c r="H47" s="116"/>
      <c r="I47" s="116"/>
      <c r="J47" s="116"/>
      <c r="K47" s="116"/>
      <c r="L47" s="117"/>
      <c r="M47" s="117"/>
      <c r="N47" s="117"/>
      <c r="O47" s="116"/>
      <c r="P47" s="118"/>
      <c r="Q47" s="118"/>
    </row>
    <row r="48" spans="1:22" x14ac:dyDescent="0.25">
      <c r="B48" s="8" t="s">
        <v>67</v>
      </c>
      <c r="C48" s="127">
        <v>54000000</v>
      </c>
    </row>
    <row r="49" spans="2:17" x14ac:dyDescent="0.25">
      <c r="B49" s="8" t="s">
        <v>93</v>
      </c>
      <c r="C49" s="127">
        <v>58500000</v>
      </c>
    </row>
    <row r="50" spans="2:17" x14ac:dyDescent="0.25">
      <c r="B50" s="8" t="s">
        <v>94</v>
      </c>
      <c r="C50" s="127">
        <v>63000000</v>
      </c>
    </row>
    <row r="51" spans="2:17" x14ac:dyDescent="0.25">
      <c r="B51" s="8" t="s">
        <v>95</v>
      </c>
      <c r="C51" s="127">
        <v>67500000</v>
      </c>
    </row>
    <row r="52" spans="2:17" x14ac:dyDescent="0.25">
      <c r="B52" s="8" t="s">
        <v>68</v>
      </c>
      <c r="C52" s="127">
        <v>58500000</v>
      </c>
    </row>
    <row r="53" spans="2:17" x14ac:dyDescent="0.25">
      <c r="B53" s="8" t="s">
        <v>69</v>
      </c>
      <c r="C53" s="127">
        <v>63000000</v>
      </c>
    </row>
    <row r="54" spans="2:17" x14ac:dyDescent="0.25">
      <c r="B54" s="8" t="s">
        <v>50</v>
      </c>
      <c r="C54" s="127">
        <v>67500000</v>
      </c>
    </row>
    <row r="55" spans="2:17" x14ac:dyDescent="0.25">
      <c r="B55" s="8" t="s">
        <v>64</v>
      </c>
      <c r="C55" s="127">
        <v>72000000</v>
      </c>
    </row>
    <row r="56" spans="2:17" x14ac:dyDescent="0.25">
      <c r="B56" s="8" t="s">
        <v>96</v>
      </c>
      <c r="C56" s="127">
        <v>112500000</v>
      </c>
    </row>
    <row r="57" spans="2:17" x14ac:dyDescent="0.25">
      <c r="B57" s="8" t="s">
        <v>97</v>
      </c>
      <c r="C57" s="127">
        <v>117000000</v>
      </c>
    </row>
    <row r="58" spans="2:17" x14ac:dyDescent="0.25">
      <c r="B58" s="8" t="s">
        <v>98</v>
      </c>
      <c r="C58" s="127">
        <v>121500000</v>
      </c>
    </row>
    <row r="59" spans="2:17" x14ac:dyDescent="0.25">
      <c r="B59" s="8" t="s">
        <v>99</v>
      </c>
      <c r="C59" s="127">
        <v>126000000</v>
      </c>
      <c r="P59" s="93"/>
      <c r="Q59" s="93"/>
    </row>
  </sheetData>
  <phoneticPr fontId="16" type="noConversion"/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1A00-000000000000}"/>
  </dataValidations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1"/>
  <dimension ref="A1:V59"/>
  <sheetViews>
    <sheetView topLeftCell="B1" zoomScale="69" workbookViewId="0">
      <selection activeCell="C13" sqref="C1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227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80</v>
      </c>
      <c r="Q12" s="122" t="s">
        <v>3</v>
      </c>
    </row>
    <row r="13" spans="1:17" ht="20.100000000000001" customHeight="1" x14ac:dyDescent="0.25">
      <c r="A13" s="30">
        <v>1</v>
      </c>
      <c r="B13" s="31" t="s">
        <v>9</v>
      </c>
      <c r="C13" s="92">
        <v>4000000</v>
      </c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4000000</v>
      </c>
      <c r="P13" s="123">
        <f t="shared" ref="P13:P18" si="1">Q13</f>
        <v>0</v>
      </c>
      <c r="Q13" s="123">
        <f t="shared" ref="Q13:Q18" si="2">G13*12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si="2"/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4000000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8">
        <f>SUM(O13:O18)</f>
        <v>4000000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4000000</v>
      </c>
      <c r="D21" s="259">
        <f t="shared" ref="D21:N21" si="3">D19+D20</f>
        <v>0</v>
      </c>
      <c r="E21" s="259">
        <f t="shared" si="3"/>
        <v>0</v>
      </c>
      <c r="F21" s="259">
        <f t="shared" si="3"/>
        <v>0</v>
      </c>
      <c r="G21" s="259">
        <f>G19+G20</f>
        <v>0</v>
      </c>
      <c r="H21" s="259">
        <f t="shared" si="3"/>
        <v>0</v>
      </c>
      <c r="I21" s="259">
        <f t="shared" si="3"/>
        <v>0</v>
      </c>
      <c r="J21" s="259">
        <f t="shared" si="3"/>
        <v>0</v>
      </c>
      <c r="K21" s="259">
        <f t="shared" si="3"/>
        <v>0</v>
      </c>
      <c r="L21" s="259">
        <f t="shared" si="3"/>
        <v>0</v>
      </c>
      <c r="M21" s="259">
        <f t="shared" si="3"/>
        <v>0</v>
      </c>
      <c r="N21" s="259">
        <f t="shared" si="3"/>
        <v>0</v>
      </c>
      <c r="O21" s="259">
        <f>O19+O20</f>
        <v>4000000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200000</v>
      </c>
      <c r="D23" s="257">
        <f t="shared" ref="D23:N23" si="4">IF(D21*5%&lt;500000,D21*5%,500000)</f>
        <v>0</v>
      </c>
      <c r="E23" s="257">
        <f t="shared" si="4"/>
        <v>0</v>
      </c>
      <c r="F23" s="257">
        <f t="shared" si="4"/>
        <v>0</v>
      </c>
      <c r="G23" s="257">
        <f>IF(G21*5%&lt;500000,G21*5%,500000)</f>
        <v>0</v>
      </c>
      <c r="H23" s="257">
        <f t="shared" si="4"/>
        <v>0</v>
      </c>
      <c r="I23" s="257">
        <f t="shared" si="4"/>
        <v>0</v>
      </c>
      <c r="J23" s="257">
        <f t="shared" si="4"/>
        <v>0</v>
      </c>
      <c r="K23" s="257">
        <f t="shared" si="4"/>
        <v>0</v>
      </c>
      <c r="L23" s="257">
        <f t="shared" si="4"/>
        <v>0</v>
      </c>
      <c r="M23" s="257">
        <f t="shared" si="4"/>
        <v>0</v>
      </c>
      <c r="N23" s="257">
        <f t="shared" si="4"/>
        <v>0</v>
      </c>
      <c r="O23" s="258">
        <f>SUM(C23:N23)</f>
        <v>200000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5">SUM(C23:C25)</f>
        <v>200000</v>
      </c>
      <c r="D26" s="257">
        <f t="shared" si="5"/>
        <v>0</v>
      </c>
      <c r="E26" s="257">
        <f t="shared" si="5"/>
        <v>0</v>
      </c>
      <c r="F26" s="257">
        <f t="shared" si="5"/>
        <v>0</v>
      </c>
      <c r="G26" s="257">
        <f>SUM(G23:G25)</f>
        <v>0</v>
      </c>
      <c r="H26" s="257">
        <f t="shared" si="5"/>
        <v>0</v>
      </c>
      <c r="I26" s="257">
        <f t="shared" si="5"/>
        <v>0</v>
      </c>
      <c r="J26" s="257">
        <f t="shared" si="5"/>
        <v>0</v>
      </c>
      <c r="K26" s="257">
        <f t="shared" si="5"/>
        <v>0</v>
      </c>
      <c r="L26" s="257">
        <f t="shared" si="5"/>
        <v>0</v>
      </c>
      <c r="M26" s="257">
        <f t="shared" si="5"/>
        <v>0</v>
      </c>
      <c r="N26" s="257">
        <f t="shared" si="5"/>
        <v>0</v>
      </c>
      <c r="O26" s="263">
        <f>SUM(O22:O25)</f>
        <v>200000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3800000</v>
      </c>
      <c r="D28" s="255">
        <f t="shared" ref="D28:O28" si="6">D21-D26</f>
        <v>0</v>
      </c>
      <c r="E28" s="255">
        <f t="shared" si="6"/>
        <v>0</v>
      </c>
      <c r="F28" s="255">
        <f t="shared" si="6"/>
        <v>0</v>
      </c>
      <c r="G28" s="255">
        <f>G21-G26</f>
        <v>0</v>
      </c>
      <c r="H28" s="255">
        <f t="shared" si="6"/>
        <v>0</v>
      </c>
      <c r="I28" s="255">
        <f t="shared" si="6"/>
        <v>0</v>
      </c>
      <c r="J28" s="255">
        <f t="shared" si="6"/>
        <v>0</v>
      </c>
      <c r="K28" s="255">
        <f t="shared" si="6"/>
        <v>0</v>
      </c>
      <c r="L28" s="255">
        <f t="shared" si="6"/>
        <v>0</v>
      </c>
      <c r="M28" s="255">
        <f t="shared" si="6"/>
        <v>0</v>
      </c>
      <c r="N28" s="255">
        <f t="shared" si="6"/>
        <v>0</v>
      </c>
      <c r="O28" s="255">
        <f t="shared" si="6"/>
        <v>3800000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45600000</v>
      </c>
      <c r="D30" s="253">
        <f>SUM(C28:D28)*D10/D11</f>
        <v>22800000</v>
      </c>
      <c r="E30" s="253">
        <f>SUM(C28:E28)*E10/E11</f>
        <v>15200000</v>
      </c>
      <c r="F30" s="253">
        <f>SUM(C28:F28)*F10/F11</f>
        <v>11400000</v>
      </c>
      <c r="G30" s="253">
        <f>SUM(C28:G28)*G10/G11</f>
        <v>9120000</v>
      </c>
      <c r="H30" s="253">
        <f>SUM(C28:H28)*H10/H11</f>
        <v>7600000</v>
      </c>
      <c r="I30" s="253">
        <f>SUM(C28:I28)*I10/I11</f>
        <v>6514285.7142857146</v>
      </c>
      <c r="J30" s="253">
        <f>SUM(C28:J28)*J10/J11</f>
        <v>5700000</v>
      </c>
      <c r="K30" s="253">
        <f>SUM(C28:K28)*K10/K11</f>
        <v>5066666.666666667</v>
      </c>
      <c r="L30" s="253">
        <f>SUM(C28:L28)*L10/L11</f>
        <v>4560000</v>
      </c>
      <c r="M30" s="253">
        <f>SUM(C28:M28)*M10/M11</f>
        <v>4145454.5454545454</v>
      </c>
      <c r="N30" s="253">
        <f>SUM(C28:N28)*N10/N11</f>
        <v>3800000</v>
      </c>
      <c r="O30" s="254">
        <f>O28</f>
        <v>3800000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7">IF(C30&gt;0,VLOOKUP(C9,$B$47:$C$59,2,FALSE),0)</f>
        <v>72000000</v>
      </c>
      <c r="D31" s="255">
        <f t="shared" si="7"/>
        <v>72000000</v>
      </c>
      <c r="E31" s="255">
        <f t="shared" si="7"/>
        <v>72000000</v>
      </c>
      <c r="F31" s="255">
        <f t="shared" si="7"/>
        <v>72000000</v>
      </c>
      <c r="G31" s="255">
        <f>IF(G30&gt;0,VLOOKUP(G9,$B$47:$C$59,2,FALSE),0)</f>
        <v>72000000</v>
      </c>
      <c r="H31" s="255">
        <f t="shared" si="7"/>
        <v>72000000</v>
      </c>
      <c r="I31" s="255">
        <f t="shared" si="7"/>
        <v>72000000</v>
      </c>
      <c r="J31" s="255">
        <f t="shared" si="7"/>
        <v>72000000</v>
      </c>
      <c r="K31" s="255">
        <f t="shared" si="7"/>
        <v>72000000</v>
      </c>
      <c r="L31" s="255">
        <f t="shared" si="7"/>
        <v>72000000</v>
      </c>
      <c r="M31" s="255">
        <f t="shared" si="7"/>
        <v>72000000</v>
      </c>
      <c r="N31" s="255">
        <f t="shared" si="7"/>
        <v>72000000</v>
      </c>
      <c r="O31" s="255">
        <f t="shared" si="7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8">ROUNDDOWN(IF(D30&lt;=D31,0,IF(D30&gt;D31,D30-D31)),-3)</f>
        <v>0</v>
      </c>
      <c r="E32" s="256">
        <f t="shared" si="8"/>
        <v>0</v>
      </c>
      <c r="F32" s="256">
        <f t="shared" si="8"/>
        <v>0</v>
      </c>
      <c r="G32" s="256">
        <f t="shared" si="8"/>
        <v>0</v>
      </c>
      <c r="H32" s="256">
        <f t="shared" si="8"/>
        <v>0</v>
      </c>
      <c r="I32" s="256">
        <f>ROUNDDOWN(IF(I30&lt;=I31,0,IF(I30&gt;I31,I30-I31)),-3)</f>
        <v>0</v>
      </c>
      <c r="J32" s="256">
        <f t="shared" si="8"/>
        <v>0</v>
      </c>
      <c r="K32" s="256">
        <f t="shared" si="8"/>
        <v>0</v>
      </c>
      <c r="L32" s="256">
        <f t="shared" si="8"/>
        <v>0</v>
      </c>
      <c r="M32" s="256">
        <f t="shared" si="8"/>
        <v>0</v>
      </c>
      <c r="N32" s="256">
        <f t="shared" si="8"/>
        <v>0</v>
      </c>
      <c r="O32" s="256">
        <f t="shared" si="8"/>
        <v>0</v>
      </c>
      <c r="P32" s="103">
        <f t="shared" ref="P32:Q32" si="9">ROUNDDOWN(IF(P30&lt;=P31,0,IF(P30&gt;P31,P30-P31)),-3)</f>
        <v>0</v>
      </c>
      <c r="Q32" s="103">
        <f t="shared" si="9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0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0"/>
        <v>0</v>
      </c>
      <c r="E33" s="257">
        <f t="shared" si="10"/>
        <v>0</v>
      </c>
      <c r="F33" s="257">
        <f t="shared" si="10"/>
        <v>0</v>
      </c>
      <c r="G33" s="257">
        <f t="shared" si="10"/>
        <v>0</v>
      </c>
      <c r="H33" s="257">
        <f t="shared" si="10"/>
        <v>0</v>
      </c>
      <c r="I33" s="257">
        <f t="shared" si="10"/>
        <v>0</v>
      </c>
      <c r="J33" s="257">
        <f t="shared" si="10"/>
        <v>0</v>
      </c>
      <c r="K33" s="257">
        <f t="shared" si="10"/>
        <v>0</v>
      </c>
      <c r="L33" s="257">
        <f t="shared" si="10"/>
        <v>0</v>
      </c>
      <c r="M33" s="257">
        <f t="shared" si="10"/>
        <v>0</v>
      </c>
      <c r="N33" s="257">
        <f t="shared" si="10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103">
        <f>IF(P32&lt;0,0,IF(P32&lt;50000000,P32*5%,IF(P32&lt;250000000,(P32-50000000)*15%+2500000,IF(P32&lt;500000000,(P32-250000000)*25%+32500000,IF(P32&gt;500000000,(P32-500000000)*30%+95000000)))))</f>
        <v>0</v>
      </c>
      <c r="Q33" s="103">
        <f>IF(Q32&lt;0,0,IF(Q32&lt;50000000,Q32*5%,IF(Q32&lt;250000000,(Q32-50000000)*15%+2500000,IF(Q32&lt;500000000,(Q32-250000000)*25%+32500000,IF(Q32&gt;500000000,(Q32-500000000)*30%+95000000)))))</f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1">D33-D34</f>
        <v>0</v>
      </c>
      <c r="E35" s="255">
        <f t="shared" si="11"/>
        <v>0</v>
      </c>
      <c r="F35" s="255">
        <f t="shared" si="11"/>
        <v>0</v>
      </c>
      <c r="G35" s="255">
        <f t="shared" si="11"/>
        <v>0</v>
      </c>
      <c r="H35" s="255">
        <f t="shared" si="11"/>
        <v>0</v>
      </c>
      <c r="I35" s="255">
        <f t="shared" si="11"/>
        <v>0</v>
      </c>
      <c r="J35" s="255">
        <f t="shared" si="11"/>
        <v>0</v>
      </c>
      <c r="K35" s="255">
        <f t="shared" si="11"/>
        <v>0</v>
      </c>
      <c r="L35" s="255">
        <f t="shared" si="11"/>
        <v>0</v>
      </c>
      <c r="M35" s="255">
        <f t="shared" si="11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2">C21-C25-C36</f>
        <v>4000000</v>
      </c>
      <c r="D41" s="50">
        <f t="shared" si="12"/>
        <v>0</v>
      </c>
      <c r="E41" s="50">
        <f t="shared" si="12"/>
        <v>0</v>
      </c>
      <c r="F41" s="50">
        <f t="shared" si="12"/>
        <v>0</v>
      </c>
      <c r="G41" s="50">
        <f t="shared" si="12"/>
        <v>0</v>
      </c>
      <c r="H41" s="50">
        <f t="shared" si="12"/>
        <v>0</v>
      </c>
      <c r="I41" s="50">
        <f t="shared" si="12"/>
        <v>0</v>
      </c>
      <c r="J41" s="50">
        <f t="shared" si="12"/>
        <v>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0</v>
      </c>
      <c r="O41" s="50">
        <f>O21-O25-O36-O38</f>
        <v>4000000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1B00-000000000000}"/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48"/>
  <dimension ref="A1:V59"/>
  <sheetViews>
    <sheetView topLeftCell="C1" zoomScale="65" workbookViewId="0">
      <selection activeCell="O34" sqref="O34"/>
    </sheetView>
  </sheetViews>
  <sheetFormatPr defaultColWidth="9.140625" defaultRowHeight="15" x14ac:dyDescent="0.25"/>
  <cols>
    <col min="1" max="1" width="8.5703125" style="3" bestFit="1" customWidth="1"/>
    <col min="2" max="2" width="80.4257812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483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2000000</v>
      </c>
      <c r="D13" s="92">
        <v>2000000</v>
      </c>
      <c r="E13" s="162">
        <v>2000000</v>
      </c>
      <c r="F13" s="92">
        <v>2000000</v>
      </c>
      <c r="G13" s="92">
        <v>2000000</v>
      </c>
      <c r="H13" s="92">
        <v>2000000</v>
      </c>
      <c r="I13" s="92">
        <v>2000000</v>
      </c>
      <c r="J13" s="92">
        <v>2000000</v>
      </c>
      <c r="K13" s="92">
        <v>2000000</v>
      </c>
      <c r="L13" s="92">
        <v>2000000</v>
      </c>
      <c r="M13" s="92">
        <v>2000000</v>
      </c>
      <c r="N13" s="92">
        <v>2000000</v>
      </c>
      <c r="O13" s="32">
        <f>SUM(C13:N13)</f>
        <v>24000000</v>
      </c>
      <c r="P13" s="123">
        <f t="shared" ref="P13:P18" si="1">Q13</f>
        <v>24000000</v>
      </c>
      <c r="Q13" s="123">
        <f>F13*12</f>
        <v>24000000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2000000</v>
      </c>
      <c r="D19" s="37">
        <f t="shared" si="3"/>
        <v>2000000</v>
      </c>
      <c r="E19" s="37">
        <f t="shared" si="3"/>
        <v>2000000</v>
      </c>
      <c r="F19" s="37">
        <f t="shared" si="3"/>
        <v>2000000</v>
      </c>
      <c r="G19" s="37">
        <f t="shared" si="3"/>
        <v>2000000</v>
      </c>
      <c r="H19" s="37">
        <f t="shared" si="3"/>
        <v>2000000</v>
      </c>
      <c r="I19" s="37">
        <f t="shared" si="3"/>
        <v>2000000</v>
      </c>
      <c r="J19" s="37">
        <f t="shared" si="3"/>
        <v>2000000</v>
      </c>
      <c r="K19" s="37">
        <f t="shared" si="3"/>
        <v>2000000</v>
      </c>
      <c r="L19" s="37">
        <f t="shared" si="3"/>
        <v>2000000</v>
      </c>
      <c r="M19" s="37">
        <f t="shared" si="3"/>
        <v>2000000</v>
      </c>
      <c r="N19" s="37">
        <f t="shared" si="3"/>
        <v>2000000</v>
      </c>
      <c r="O19" s="38">
        <f>SUM(O13:O18)</f>
        <v>24000000</v>
      </c>
      <c r="P19" s="103">
        <f>SUM(P13:P18)</f>
        <v>24000000</v>
      </c>
      <c r="Q19" s="103">
        <f>SUM(Q13:Q18)</f>
        <v>24000000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2000000</v>
      </c>
      <c r="P20" s="110">
        <v>2000000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2000000</v>
      </c>
      <c r="D21" s="259">
        <f t="shared" ref="D21:N21" si="4">D19+D20</f>
        <v>2000000</v>
      </c>
      <c r="E21" s="259">
        <f t="shared" si="4"/>
        <v>2000000</v>
      </c>
      <c r="F21" s="259">
        <f t="shared" si="4"/>
        <v>2000000</v>
      </c>
      <c r="G21" s="259">
        <f>G19+G20</f>
        <v>2000000</v>
      </c>
      <c r="H21" s="259">
        <f t="shared" si="4"/>
        <v>2000000</v>
      </c>
      <c r="I21" s="259">
        <f t="shared" si="4"/>
        <v>2000000</v>
      </c>
      <c r="J21" s="259">
        <f t="shared" si="4"/>
        <v>2000000</v>
      </c>
      <c r="K21" s="259">
        <f t="shared" si="4"/>
        <v>2000000</v>
      </c>
      <c r="L21" s="259">
        <f t="shared" si="4"/>
        <v>2000000</v>
      </c>
      <c r="M21" s="259">
        <f t="shared" si="4"/>
        <v>2000000</v>
      </c>
      <c r="N21" s="259">
        <f t="shared" si="4"/>
        <v>2000000</v>
      </c>
      <c r="O21" s="259">
        <f>O19+O20</f>
        <v>26000000</v>
      </c>
      <c r="P21" s="103">
        <f>P19+P20</f>
        <v>26000000</v>
      </c>
      <c r="Q21" s="103">
        <f>Q19+Q20</f>
        <v>24000000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100000</v>
      </c>
      <c r="D23" s="257">
        <f t="shared" ref="D23:N23" si="5">IF(D21*5%&lt;500000,D21*5%,500000)</f>
        <v>100000</v>
      </c>
      <c r="E23" s="257">
        <f t="shared" si="5"/>
        <v>100000</v>
      </c>
      <c r="F23" s="257">
        <f t="shared" si="5"/>
        <v>100000</v>
      </c>
      <c r="G23" s="257">
        <f>IF(G21*5%&lt;500000,G21*5%,500000)</f>
        <v>100000</v>
      </c>
      <c r="H23" s="257">
        <f t="shared" si="5"/>
        <v>100000</v>
      </c>
      <c r="I23" s="257">
        <f t="shared" si="5"/>
        <v>100000</v>
      </c>
      <c r="J23" s="257">
        <f t="shared" si="5"/>
        <v>100000</v>
      </c>
      <c r="K23" s="257">
        <f t="shared" si="5"/>
        <v>100000</v>
      </c>
      <c r="L23" s="257">
        <f t="shared" si="5"/>
        <v>100000</v>
      </c>
      <c r="M23" s="257">
        <f t="shared" si="5"/>
        <v>100000</v>
      </c>
      <c r="N23" s="257">
        <f t="shared" si="5"/>
        <v>100000</v>
      </c>
      <c r="O23" s="257">
        <f>IF(O21*5%&lt;6000000,O21*5%,6000000)</f>
        <v>1300000</v>
      </c>
      <c r="P23" s="110">
        <f>IF(P21*5%&lt;6000000,P21*5%,6000000)</f>
        <v>1300000</v>
      </c>
      <c r="Q23" s="110">
        <f>IF(Q21*5%&lt;6000000,Q21*5%,6000000)</f>
        <v>1200000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100000</v>
      </c>
      <c r="D26" s="257">
        <f t="shared" si="6"/>
        <v>100000</v>
      </c>
      <c r="E26" s="257">
        <f t="shared" si="6"/>
        <v>100000</v>
      </c>
      <c r="F26" s="257">
        <f t="shared" si="6"/>
        <v>100000</v>
      </c>
      <c r="G26" s="257">
        <f>SUM(G23:G25)</f>
        <v>100000</v>
      </c>
      <c r="H26" s="257">
        <f t="shared" si="6"/>
        <v>100000</v>
      </c>
      <c r="I26" s="257">
        <f t="shared" si="6"/>
        <v>100000</v>
      </c>
      <c r="J26" s="257">
        <f t="shared" si="6"/>
        <v>100000</v>
      </c>
      <c r="K26" s="257">
        <f t="shared" si="6"/>
        <v>100000</v>
      </c>
      <c r="L26" s="257">
        <f t="shared" si="6"/>
        <v>100000</v>
      </c>
      <c r="M26" s="257">
        <f t="shared" si="6"/>
        <v>100000</v>
      </c>
      <c r="N26" s="257">
        <f t="shared" si="6"/>
        <v>100000</v>
      </c>
      <c r="O26" s="263">
        <f>SUM(O22:O25)</f>
        <v>1300000</v>
      </c>
      <c r="P26" s="103">
        <f>SUM(P23:P25)</f>
        <v>1300000</v>
      </c>
      <c r="Q26" s="103">
        <f>SUM(Q23:Q25)</f>
        <v>1200000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1900000</v>
      </c>
      <c r="D28" s="255">
        <f t="shared" ref="D28:O28" si="7">D21-D26</f>
        <v>1900000</v>
      </c>
      <c r="E28" s="255">
        <f t="shared" si="7"/>
        <v>1900000</v>
      </c>
      <c r="F28" s="255">
        <f t="shared" si="7"/>
        <v>1900000</v>
      </c>
      <c r="G28" s="255">
        <f>G21-G26</f>
        <v>1900000</v>
      </c>
      <c r="H28" s="255">
        <f t="shared" si="7"/>
        <v>1900000</v>
      </c>
      <c r="I28" s="255">
        <f t="shared" si="7"/>
        <v>1900000</v>
      </c>
      <c r="J28" s="255">
        <f t="shared" si="7"/>
        <v>1900000</v>
      </c>
      <c r="K28" s="255">
        <f t="shared" si="7"/>
        <v>1900000</v>
      </c>
      <c r="L28" s="255">
        <f t="shared" si="7"/>
        <v>1900000</v>
      </c>
      <c r="M28" s="255">
        <f t="shared" si="7"/>
        <v>1900000</v>
      </c>
      <c r="N28" s="255">
        <f t="shared" si="7"/>
        <v>1900000</v>
      </c>
      <c r="O28" s="255">
        <f t="shared" si="7"/>
        <v>24700000</v>
      </c>
      <c r="P28" s="103">
        <f>P21-P26</f>
        <v>24700000</v>
      </c>
      <c r="Q28" s="103">
        <f>Q21-Q26</f>
        <v>22800000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22800000</v>
      </c>
      <c r="D30" s="253">
        <f>SUM(C28:D28)*D10/D11</f>
        <v>22800000</v>
      </c>
      <c r="E30" s="253">
        <f>SUM(C28:E28)*E10/E11</f>
        <v>22800000</v>
      </c>
      <c r="F30" s="253">
        <f>SUM(C28:F28)*F10/F11</f>
        <v>22800000</v>
      </c>
      <c r="G30" s="253">
        <f>SUM(C28:G28)*G10/G11</f>
        <v>22800000</v>
      </c>
      <c r="H30" s="253">
        <f>SUM(C28:H28)*H10/H11</f>
        <v>22800000</v>
      </c>
      <c r="I30" s="253">
        <f>SUM(C28:I28)*I10/I11</f>
        <v>22800000</v>
      </c>
      <c r="J30" s="253">
        <f>SUM(C28:J28)*J10/J11</f>
        <v>22800000</v>
      </c>
      <c r="K30" s="253">
        <f>SUM(C28:K28)*K10/K11</f>
        <v>22800000</v>
      </c>
      <c r="L30" s="253">
        <f>SUM(C28:L28)*L10/L11</f>
        <v>22800000</v>
      </c>
      <c r="M30" s="253">
        <f>SUM(C28:M28)*M10/M11</f>
        <v>22800000</v>
      </c>
      <c r="N30" s="253">
        <f>SUM(C28:N28)*N10/N11</f>
        <v>22800000</v>
      </c>
      <c r="O30" s="254">
        <f>O28</f>
        <v>24700000</v>
      </c>
      <c r="P30" s="108">
        <f>P28</f>
        <v>24700000</v>
      </c>
      <c r="Q30" s="108">
        <f>Q28</f>
        <v>22800000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54000000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P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2000000</v>
      </c>
      <c r="D41" s="50">
        <f t="shared" si="14"/>
        <v>2000000</v>
      </c>
      <c r="E41" s="50">
        <f t="shared" si="14"/>
        <v>2000000</v>
      </c>
      <c r="F41" s="50">
        <f t="shared" si="14"/>
        <v>2000000</v>
      </c>
      <c r="G41" s="50">
        <f t="shared" si="14"/>
        <v>2000000</v>
      </c>
      <c r="H41" s="50">
        <f t="shared" si="14"/>
        <v>2000000</v>
      </c>
      <c r="I41" s="50">
        <f t="shared" si="14"/>
        <v>2000000</v>
      </c>
      <c r="J41" s="50">
        <f t="shared" si="14"/>
        <v>2000000</v>
      </c>
      <c r="K41" s="50">
        <f>K21-K25-K36</f>
        <v>2000000</v>
      </c>
      <c r="L41" s="50">
        <f>L21-L25-L36</f>
        <v>2000000</v>
      </c>
      <c r="M41" s="50">
        <f>M21-M25-M36</f>
        <v>2000000</v>
      </c>
      <c r="N41" s="50">
        <f>N21-N25-N36</f>
        <v>2000000</v>
      </c>
      <c r="O41" s="50">
        <f>O21-O25-O36-O38</f>
        <v>26000000</v>
      </c>
      <c r="P41" s="126">
        <f>P21-P25-P36</f>
        <v>26000000</v>
      </c>
      <c r="Q41" s="126">
        <f>Q21-Q25-Q36</f>
        <v>24000000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1C00-000000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4"/>
  <dimension ref="A2:J102"/>
  <sheetViews>
    <sheetView topLeftCell="A89" workbookViewId="0">
      <selection activeCell="F100" sqref="F100"/>
    </sheetView>
  </sheetViews>
  <sheetFormatPr defaultColWidth="9.140625" defaultRowHeight="15" x14ac:dyDescent="0.25"/>
  <cols>
    <col min="1" max="1" width="1.85546875" style="3" customWidth="1"/>
    <col min="2" max="2" width="4.5703125" style="120" customWidth="1"/>
    <col min="3" max="3" width="13.140625" style="148" customWidth="1"/>
    <col min="4" max="4" width="32.85546875" style="3" customWidth="1"/>
    <col min="5" max="5" width="15.5703125" style="18" customWidth="1"/>
    <col min="6" max="8" width="15" style="18" customWidth="1"/>
    <col min="9" max="10" width="13.42578125" style="3" bestFit="1" customWidth="1"/>
    <col min="11" max="16384" width="9.140625" style="3"/>
  </cols>
  <sheetData>
    <row r="2" spans="1:10" ht="38.25" x14ac:dyDescent="0.25">
      <c r="A2"/>
      <c r="B2" s="13" t="s">
        <v>0</v>
      </c>
      <c r="C2" s="144" t="s">
        <v>70</v>
      </c>
      <c r="D2" s="12" t="s">
        <v>581</v>
      </c>
      <c r="E2" s="136" t="s">
        <v>71</v>
      </c>
      <c r="F2" s="136" t="s">
        <v>65</v>
      </c>
      <c r="G2" s="136" t="s">
        <v>74</v>
      </c>
      <c r="H2" s="136" t="s">
        <v>73</v>
      </c>
      <c r="J2"/>
    </row>
    <row r="3" spans="1:10" x14ac:dyDescent="0.25">
      <c r="A3"/>
      <c r="B3" s="16">
        <v>1</v>
      </c>
      <c r="C3" s="145">
        <v>44566</v>
      </c>
      <c r="D3" s="156" t="s">
        <v>610</v>
      </c>
      <c r="E3" s="137">
        <v>1000000</v>
      </c>
      <c r="F3" s="137">
        <v>4500000</v>
      </c>
      <c r="G3" s="137">
        <f t="shared" ref="G3:G9" si="0">IF((E3-F3)&lt;0,0,IF((E3-F3)&gt;0,(E3-F3)))</f>
        <v>0</v>
      </c>
      <c r="H3" s="137">
        <f>IF(G3&lt;0,0,IF(G3&lt;50000000,G3*5%,IF(G3&lt;250000000,(G3-50000000)*15%+2500000,IF(G3&lt;500000000,(G3-250000000)*25%+32500000,IF(G3&gt;500000000,(G3-500000000)*30%+95000000)))))</f>
        <v>0</v>
      </c>
      <c r="J3"/>
    </row>
    <row r="4" spans="1:10" ht="14.65" customHeight="1" x14ac:dyDescent="0.25">
      <c r="A4"/>
      <c r="B4" s="16">
        <v>2</v>
      </c>
      <c r="C4" s="145" t="s">
        <v>614</v>
      </c>
      <c r="D4" s="135" t="s">
        <v>611</v>
      </c>
      <c r="E4" s="143">
        <v>140000</v>
      </c>
      <c r="F4" s="137">
        <v>4500000</v>
      </c>
      <c r="G4" s="137">
        <f t="shared" si="0"/>
        <v>0</v>
      </c>
      <c r="H4" s="137">
        <f>IF(G4&lt;0,0,IF(G4&lt;50000000,G4*5%,IF(G4&lt;250000000,(G4-50000000)*15%+2500000,IF(G4&lt;500000000,(G4-250000000)*25%+32500000,IF(G4&gt;500000000,(G4-500000000)*30%+95000000)))))</f>
        <v>0</v>
      </c>
      <c r="J4"/>
    </row>
    <row r="5" spans="1:10" ht="14.65" customHeight="1" x14ac:dyDescent="0.25">
      <c r="A5"/>
      <c r="B5" s="16">
        <v>3</v>
      </c>
      <c r="C5" s="145" t="s">
        <v>614</v>
      </c>
      <c r="D5" s="135" t="s">
        <v>612</v>
      </c>
      <c r="E5" s="137">
        <v>35000</v>
      </c>
      <c r="F5" s="137">
        <v>4500000</v>
      </c>
      <c r="G5" s="137">
        <f t="shared" si="0"/>
        <v>0</v>
      </c>
      <c r="H5" s="137">
        <f t="shared" ref="H5:H10" si="1">IF(G5&lt;0,0,IF(G5&lt;50000000,G5*5%,IF(G5&lt;250000000,(G5-50000000)*15%+2500000,IF(G5&lt;500000000,(G5-250000000)*25%+32500000,IF(G5&gt;500000000,(G5-500000000)*30%+95000000)))))</f>
        <v>0</v>
      </c>
      <c r="J5"/>
    </row>
    <row r="6" spans="1:10" x14ac:dyDescent="0.25">
      <c r="A6"/>
      <c r="B6" s="16">
        <v>4</v>
      </c>
      <c r="C6" s="145" t="s">
        <v>615</v>
      </c>
      <c r="D6" s="135" t="s">
        <v>613</v>
      </c>
      <c r="E6" s="137">
        <v>175000</v>
      </c>
      <c r="F6" s="137">
        <v>4500000</v>
      </c>
      <c r="G6" s="137">
        <f t="shared" si="0"/>
        <v>0</v>
      </c>
      <c r="H6" s="137">
        <f t="shared" si="1"/>
        <v>0</v>
      </c>
      <c r="J6"/>
    </row>
    <row r="7" spans="1:10" x14ac:dyDescent="0.25">
      <c r="A7"/>
      <c r="B7" s="16">
        <v>5</v>
      </c>
      <c r="C7" s="145" t="s">
        <v>620</v>
      </c>
      <c r="D7" s="135" t="s">
        <v>616</v>
      </c>
      <c r="E7" s="137">
        <v>175000</v>
      </c>
      <c r="F7" s="137">
        <v>4500000</v>
      </c>
      <c r="G7" s="137">
        <f t="shared" si="0"/>
        <v>0</v>
      </c>
      <c r="H7" s="137">
        <f t="shared" si="1"/>
        <v>0</v>
      </c>
      <c r="J7"/>
    </row>
    <row r="8" spans="1:10" x14ac:dyDescent="0.25">
      <c r="A8"/>
      <c r="B8" s="16">
        <v>6</v>
      </c>
      <c r="C8" s="145" t="s">
        <v>620</v>
      </c>
      <c r="D8" s="135" t="s">
        <v>617</v>
      </c>
      <c r="E8" s="137">
        <v>100000</v>
      </c>
      <c r="F8" s="137">
        <v>4500000</v>
      </c>
      <c r="G8" s="137">
        <f t="shared" si="0"/>
        <v>0</v>
      </c>
      <c r="H8" s="137">
        <f t="shared" si="1"/>
        <v>0</v>
      </c>
      <c r="J8"/>
    </row>
    <row r="9" spans="1:10" x14ac:dyDescent="0.25">
      <c r="A9"/>
      <c r="B9" s="16">
        <v>7</v>
      </c>
      <c r="C9" s="145" t="s">
        <v>621</v>
      </c>
      <c r="D9" s="135" t="s">
        <v>618</v>
      </c>
      <c r="E9" s="137">
        <v>1000000</v>
      </c>
      <c r="F9" s="137">
        <v>4500000</v>
      </c>
      <c r="G9" s="137">
        <f t="shared" si="0"/>
        <v>0</v>
      </c>
      <c r="H9" s="137">
        <f t="shared" si="1"/>
        <v>0</v>
      </c>
      <c r="J9"/>
    </row>
    <row r="10" spans="1:10" x14ac:dyDescent="0.25">
      <c r="A10"/>
      <c r="B10" s="16">
        <v>8</v>
      </c>
      <c r="C10" s="145" t="s">
        <v>621</v>
      </c>
      <c r="D10" s="135" t="s">
        <v>619</v>
      </c>
      <c r="E10" s="137">
        <v>100000</v>
      </c>
      <c r="F10" s="137">
        <v>4500000</v>
      </c>
      <c r="G10" s="137">
        <v>0</v>
      </c>
      <c r="H10" s="137">
        <f t="shared" si="1"/>
        <v>0</v>
      </c>
      <c r="I10" s="141"/>
      <c r="J10"/>
    </row>
    <row r="11" spans="1:10" x14ac:dyDescent="0.25">
      <c r="A11"/>
      <c r="B11" s="16"/>
      <c r="C11" s="145"/>
      <c r="D11" s="135"/>
      <c r="E11" s="137"/>
      <c r="F11" s="137"/>
      <c r="G11" s="137"/>
      <c r="H11" s="137"/>
      <c r="I11" s="141"/>
      <c r="J11"/>
    </row>
    <row r="12" spans="1:10" x14ac:dyDescent="0.25">
      <c r="A12"/>
      <c r="B12" s="16"/>
      <c r="C12" s="145"/>
      <c r="D12" s="135"/>
      <c r="E12" s="137"/>
      <c r="F12" s="137"/>
      <c r="G12" s="137"/>
      <c r="H12" s="137"/>
      <c r="I12" s="141"/>
      <c r="J12"/>
    </row>
    <row r="13" spans="1:10" s="6" customFormat="1" x14ac:dyDescent="0.25">
      <c r="A13" s="139"/>
      <c r="B13" s="20"/>
      <c r="C13" s="146"/>
      <c r="D13" s="20" t="s">
        <v>78</v>
      </c>
      <c r="E13" s="140">
        <f>SUM(E3:E10)</f>
        <v>2725000</v>
      </c>
      <c r="F13" s="140"/>
      <c r="G13" s="140">
        <f>SUM(G3:G10)</f>
        <v>0</v>
      </c>
      <c r="H13" s="140">
        <f>SUM(H3:H10)</f>
        <v>0</v>
      </c>
      <c r="I13" s="139"/>
      <c r="J13" s="139"/>
    </row>
    <row r="14" spans="1:10" ht="20.100000000000001" customHeight="1" x14ac:dyDescent="0.25">
      <c r="A14"/>
      <c r="B14" s="121"/>
      <c r="C14" s="147"/>
      <c r="D14"/>
      <c r="E14" s="138"/>
      <c r="F14" s="138"/>
      <c r="G14" s="138"/>
      <c r="H14" s="138"/>
      <c r="I14" s="22"/>
      <c r="J14"/>
    </row>
    <row r="15" spans="1:10" s="9" customFormat="1" x14ac:dyDescent="0.25">
      <c r="A15"/>
      <c r="B15" s="121"/>
      <c r="C15" s="147"/>
      <c r="D15"/>
      <c r="E15" s="138"/>
      <c r="F15" s="138"/>
      <c r="G15" s="138"/>
      <c r="H15" s="138"/>
      <c r="I15"/>
      <c r="J15"/>
    </row>
    <row r="16" spans="1:10" ht="20.100000000000001" customHeight="1" x14ac:dyDescent="0.25">
      <c r="A16"/>
      <c r="B16" s="13" t="s">
        <v>0</v>
      </c>
      <c r="C16" s="144" t="s">
        <v>70</v>
      </c>
      <c r="D16" s="12" t="s">
        <v>581</v>
      </c>
      <c r="E16" s="136" t="s">
        <v>71</v>
      </c>
      <c r="F16" s="136" t="s">
        <v>65</v>
      </c>
      <c r="G16" s="136" t="s">
        <v>74</v>
      </c>
      <c r="H16" s="136" t="s">
        <v>73</v>
      </c>
      <c r="I16"/>
      <c r="J16"/>
    </row>
    <row r="17" spans="1:10" ht="20.100000000000001" customHeight="1" x14ac:dyDescent="0.25">
      <c r="A17"/>
      <c r="B17" s="16">
        <v>1</v>
      </c>
      <c r="C17" s="159">
        <v>44595</v>
      </c>
      <c r="D17" s="160" t="s">
        <v>625</v>
      </c>
      <c r="E17" s="137">
        <v>1000000</v>
      </c>
      <c r="F17" s="137">
        <v>4500000</v>
      </c>
      <c r="G17" s="137">
        <f t="shared" ref="G17:G23" si="2">IF((E17-F17)&lt;0,0,IF((E17-F17)&gt;0,(E17-F17)))</f>
        <v>0</v>
      </c>
      <c r="H17" s="137">
        <f>IF(G17&lt;0,0,IF(G17&lt;50000000,G17*5%,IF(G17&lt;250000000,(G17-50000000)*15%+2500000,IF(G17&lt;500000000,(G17-250000000)*25%+32500000,IF(G17&gt;500000000,(G17-500000000)*30%+95000000)))))</f>
        <v>0</v>
      </c>
      <c r="I17"/>
      <c r="J17"/>
    </row>
    <row r="18" spans="1:10" ht="20.100000000000001" customHeight="1" x14ac:dyDescent="0.25">
      <c r="A18"/>
      <c r="B18" s="16">
        <v>2</v>
      </c>
      <c r="C18" s="159">
        <v>44595</v>
      </c>
      <c r="D18" s="160" t="s">
        <v>626</v>
      </c>
      <c r="E18" s="161">
        <v>175000</v>
      </c>
      <c r="F18" s="137">
        <v>4500000</v>
      </c>
      <c r="G18" s="137">
        <f t="shared" si="2"/>
        <v>0</v>
      </c>
      <c r="H18" s="137">
        <f>IF(G18&lt;0,0,IF(G18&lt;50000000,G18*5%,IF(G18&lt;250000000,(G18-50000000)*15%+2500000,IF(G18&lt;500000000,(G18-250000000)*25%+32500000,IF(G18&gt;500000000,(G18-500000000)*30%+95000000)))))</f>
        <v>0</v>
      </c>
      <c r="I18"/>
      <c r="J18"/>
    </row>
    <row r="19" spans="1:10" ht="20.100000000000001" customHeight="1" x14ac:dyDescent="0.25">
      <c r="A19"/>
      <c r="B19" s="16">
        <v>3</v>
      </c>
      <c r="C19" s="145"/>
      <c r="D19" s="135"/>
      <c r="E19" s="137"/>
      <c r="F19" s="137">
        <v>4500000</v>
      </c>
      <c r="G19" s="137">
        <f t="shared" si="2"/>
        <v>0</v>
      </c>
      <c r="H19" s="137">
        <f t="shared" ref="H19:H24" si="3">IF(G19&lt;0,0,IF(G19&lt;50000000,G19*5%,IF(G19&lt;250000000,(G19-50000000)*15%+2500000,IF(G19&lt;500000000,(G19-250000000)*25%+32500000,IF(G19&gt;500000000,(G19-500000000)*30%+95000000)))))</f>
        <v>0</v>
      </c>
      <c r="I19"/>
      <c r="J19"/>
    </row>
    <row r="20" spans="1:10" ht="20.100000000000001" customHeight="1" x14ac:dyDescent="0.25">
      <c r="A20"/>
      <c r="B20" s="16">
        <v>4</v>
      </c>
      <c r="C20" s="145"/>
      <c r="D20" s="135"/>
      <c r="E20" s="137"/>
      <c r="F20" s="137">
        <v>4500000</v>
      </c>
      <c r="G20" s="137">
        <f t="shared" si="2"/>
        <v>0</v>
      </c>
      <c r="H20" s="137">
        <f t="shared" si="3"/>
        <v>0</v>
      </c>
      <c r="I20"/>
      <c r="J20"/>
    </row>
    <row r="21" spans="1:10" s="10" customFormat="1" ht="20.100000000000001" customHeight="1" x14ac:dyDescent="0.25">
      <c r="A21"/>
      <c r="B21" s="16">
        <v>5</v>
      </c>
      <c r="C21" s="145"/>
      <c r="D21" s="135"/>
      <c r="E21" s="137"/>
      <c r="F21" s="137">
        <v>4500000</v>
      </c>
      <c r="G21" s="137">
        <f t="shared" si="2"/>
        <v>0</v>
      </c>
      <c r="H21" s="137">
        <f t="shared" si="3"/>
        <v>0</v>
      </c>
      <c r="I21"/>
      <c r="J21"/>
    </row>
    <row r="22" spans="1:10" ht="20.100000000000001" customHeight="1" x14ac:dyDescent="0.25">
      <c r="A22"/>
      <c r="B22" s="16">
        <v>6</v>
      </c>
      <c r="C22" s="145"/>
      <c r="D22" s="135"/>
      <c r="E22" s="137"/>
      <c r="F22" s="137">
        <v>4500000</v>
      </c>
      <c r="G22" s="137">
        <f t="shared" si="2"/>
        <v>0</v>
      </c>
      <c r="H22" s="137">
        <f t="shared" si="3"/>
        <v>0</v>
      </c>
      <c r="I22"/>
      <c r="J22"/>
    </row>
    <row r="23" spans="1:10" s="2" customFormat="1" ht="20.100000000000001" customHeight="1" x14ac:dyDescent="0.25">
      <c r="A23"/>
      <c r="B23" s="16">
        <v>7</v>
      </c>
      <c r="C23" s="145"/>
      <c r="D23" s="135"/>
      <c r="E23" s="137"/>
      <c r="F23" s="137">
        <v>4500000</v>
      </c>
      <c r="G23" s="137">
        <f t="shared" si="2"/>
        <v>0</v>
      </c>
      <c r="H23" s="137">
        <f t="shared" si="3"/>
        <v>0</v>
      </c>
      <c r="I23"/>
      <c r="J23"/>
    </row>
    <row r="24" spans="1:10" x14ac:dyDescent="0.25">
      <c r="B24" s="16">
        <v>8</v>
      </c>
      <c r="C24" s="145"/>
      <c r="D24" s="135"/>
      <c r="E24" s="137"/>
      <c r="F24" s="137">
        <v>4500000</v>
      </c>
      <c r="G24" s="137">
        <v>0</v>
      </c>
      <c r="H24" s="137">
        <f t="shared" si="3"/>
        <v>0</v>
      </c>
    </row>
    <row r="25" spans="1:10" x14ac:dyDescent="0.25">
      <c r="B25" s="16"/>
      <c r="C25" s="145"/>
      <c r="D25" s="135"/>
      <c r="E25" s="137"/>
      <c r="F25" s="137"/>
      <c r="G25" s="137"/>
      <c r="H25" s="137"/>
    </row>
    <row r="26" spans="1:10" x14ac:dyDescent="0.25">
      <c r="B26" s="16"/>
      <c r="C26" s="145"/>
      <c r="D26" s="135"/>
      <c r="E26" s="137"/>
      <c r="F26" s="137"/>
      <c r="G26" s="137"/>
      <c r="H26" s="137"/>
    </row>
    <row r="27" spans="1:10" x14ac:dyDescent="0.25">
      <c r="B27" s="20"/>
      <c r="C27" s="146"/>
      <c r="D27" s="20" t="s">
        <v>78</v>
      </c>
      <c r="E27" s="140">
        <f>SUM(E17:E24)</f>
        <v>1175000</v>
      </c>
      <c r="F27" s="140"/>
      <c r="G27" s="140">
        <f>SUM(G17:G24)</f>
        <v>0</v>
      </c>
      <c r="H27" s="140">
        <f>SUM(H17:H24)</f>
        <v>0</v>
      </c>
    </row>
    <row r="30" spans="1:10" ht="38.25" x14ac:dyDescent="0.25">
      <c r="B30" s="13" t="s">
        <v>0</v>
      </c>
      <c r="C30" s="144" t="s">
        <v>70</v>
      </c>
      <c r="D30" s="12" t="s">
        <v>581</v>
      </c>
      <c r="E30" s="136" t="s">
        <v>71</v>
      </c>
      <c r="F30" s="136" t="s">
        <v>65</v>
      </c>
      <c r="G30" s="136" t="s">
        <v>74</v>
      </c>
      <c r="H30" s="136" t="s">
        <v>73</v>
      </c>
    </row>
    <row r="31" spans="1:10" x14ac:dyDescent="0.25">
      <c r="B31" s="16">
        <v>1</v>
      </c>
      <c r="C31" s="145">
        <v>44621</v>
      </c>
      <c r="D31" s="156" t="s">
        <v>624</v>
      </c>
      <c r="E31" s="162">
        <v>2000000</v>
      </c>
      <c r="F31" s="137">
        <v>4500000</v>
      </c>
      <c r="G31" s="137">
        <f t="shared" ref="G31:G37" si="4">IF((E31-F31)&lt;0,0,IF((E31-F31)&gt;0,(E31-F31)))</f>
        <v>0</v>
      </c>
      <c r="H31" s="137">
        <f>IF(G31&lt;0,0,IF(G31&lt;50000000,G31*5%,IF(G31&lt;250000000,(G31-50000000)*15%+2500000,IF(G31&lt;500000000,(G31-250000000)*25%+32500000,IF(G31&gt;500000000,(G31-500000000)*30%+95000000)))))</f>
        <v>0</v>
      </c>
    </row>
    <row r="32" spans="1:10" x14ac:dyDescent="0.25">
      <c r="B32" s="16">
        <v>2</v>
      </c>
      <c r="C32" s="145">
        <v>44627</v>
      </c>
      <c r="D32" s="135" t="s">
        <v>627</v>
      </c>
      <c r="E32" s="163">
        <v>140000</v>
      </c>
      <c r="F32" s="137">
        <v>4500000</v>
      </c>
      <c r="G32" s="137">
        <f t="shared" si="4"/>
        <v>0</v>
      </c>
      <c r="H32" s="137">
        <f>IF(G32&lt;0,0,IF(G32&lt;50000000,G32*5%,IF(G32&lt;250000000,(G32-50000000)*15%+2500000,IF(G32&lt;500000000,(G32-250000000)*25%+32500000,IF(G32&gt;500000000,(G32-500000000)*30%+95000000)))))</f>
        <v>0</v>
      </c>
    </row>
    <row r="33" spans="2:8" ht="15" customHeight="1" x14ac:dyDescent="0.25">
      <c r="B33" s="16">
        <v>3</v>
      </c>
      <c r="C33" s="145">
        <v>44629</v>
      </c>
      <c r="D33" s="156" t="s">
        <v>628</v>
      </c>
      <c r="E33" s="162">
        <v>1000000</v>
      </c>
      <c r="F33" s="137">
        <v>4500000</v>
      </c>
      <c r="G33" s="137">
        <f t="shared" si="4"/>
        <v>0</v>
      </c>
      <c r="H33" s="137">
        <f t="shared" ref="H33:H38" si="5">IF(G33&lt;0,0,IF(G33&lt;50000000,G33*5%,IF(G33&lt;250000000,(G33-50000000)*15%+2500000,IF(G33&lt;500000000,(G33-250000000)*25%+32500000,IF(G33&gt;500000000,(G33-500000000)*30%+95000000)))))</f>
        <v>0</v>
      </c>
    </row>
    <row r="34" spans="2:8" x14ac:dyDescent="0.25">
      <c r="B34" s="16">
        <v>4</v>
      </c>
      <c r="C34" s="145">
        <v>44631</v>
      </c>
      <c r="D34" s="156" t="s">
        <v>629</v>
      </c>
      <c r="E34" s="162">
        <v>105000</v>
      </c>
      <c r="F34" s="137">
        <v>4500000</v>
      </c>
      <c r="G34" s="137">
        <f t="shared" si="4"/>
        <v>0</v>
      </c>
      <c r="H34" s="137">
        <f t="shared" si="5"/>
        <v>0</v>
      </c>
    </row>
    <row r="35" spans="2:8" x14ac:dyDescent="0.25">
      <c r="B35" s="16">
        <v>5</v>
      </c>
      <c r="C35" s="145">
        <v>44637</v>
      </c>
      <c r="D35" s="156" t="s">
        <v>630</v>
      </c>
      <c r="E35" s="162">
        <v>175000</v>
      </c>
      <c r="F35" s="137">
        <v>4500000</v>
      </c>
      <c r="G35" s="137">
        <f t="shared" si="4"/>
        <v>0</v>
      </c>
      <c r="H35" s="137">
        <f t="shared" si="5"/>
        <v>0</v>
      </c>
    </row>
    <row r="36" spans="2:8" x14ac:dyDescent="0.25">
      <c r="B36" s="16">
        <v>6</v>
      </c>
      <c r="C36" s="145">
        <v>44642</v>
      </c>
      <c r="D36" s="135" t="s">
        <v>631</v>
      </c>
      <c r="E36" s="137">
        <v>175000</v>
      </c>
      <c r="F36" s="137">
        <v>4500000</v>
      </c>
      <c r="G36" s="137">
        <f t="shared" si="4"/>
        <v>0</v>
      </c>
      <c r="H36" s="137">
        <f t="shared" si="5"/>
        <v>0</v>
      </c>
    </row>
    <row r="37" spans="2:8" x14ac:dyDescent="0.25">
      <c r="B37" s="16">
        <v>7</v>
      </c>
      <c r="C37" s="145">
        <v>44650</v>
      </c>
      <c r="D37" s="135" t="s">
        <v>632</v>
      </c>
      <c r="E37" s="162">
        <v>175000</v>
      </c>
      <c r="F37" s="137">
        <v>4500000</v>
      </c>
      <c r="G37" s="137">
        <f t="shared" si="4"/>
        <v>0</v>
      </c>
      <c r="H37" s="137">
        <f t="shared" si="5"/>
        <v>0</v>
      </c>
    </row>
    <row r="38" spans="2:8" x14ac:dyDescent="0.25">
      <c r="B38" s="16">
        <v>8</v>
      </c>
      <c r="C38" s="145">
        <v>44650</v>
      </c>
      <c r="D38" s="156" t="s">
        <v>633</v>
      </c>
      <c r="E38" s="162">
        <v>1000000</v>
      </c>
      <c r="F38" s="137">
        <v>4500000</v>
      </c>
      <c r="G38" s="137">
        <v>0</v>
      </c>
      <c r="H38" s="137">
        <f t="shared" si="5"/>
        <v>0</v>
      </c>
    </row>
    <row r="39" spans="2:8" x14ac:dyDescent="0.25">
      <c r="B39" s="16">
        <v>9</v>
      </c>
      <c r="C39" s="145">
        <v>44650</v>
      </c>
      <c r="D39" s="156" t="s">
        <v>634</v>
      </c>
      <c r="E39" s="137">
        <v>100000</v>
      </c>
      <c r="F39" s="137">
        <v>4500000</v>
      </c>
      <c r="G39" s="137">
        <v>0</v>
      </c>
      <c r="H39" s="137">
        <f>IF(G39&lt;0,0,IF(G39&lt;50000000,G39*5%,IF(G39&lt;250000000,(G39-50000000)*15%+2500000,IF(G39&lt;500000000,(G39-250000000)*25%+32500000,IF(G39&gt;500000000,(G39-500000000)*30%+95000000)))))</f>
        <v>0</v>
      </c>
    </row>
    <row r="40" spans="2:8" x14ac:dyDescent="0.25">
      <c r="B40" s="16">
        <v>10</v>
      </c>
      <c r="C40" s="145">
        <v>44651</v>
      </c>
      <c r="D40" s="135" t="s">
        <v>635</v>
      </c>
      <c r="E40" s="162">
        <v>4500000</v>
      </c>
      <c r="F40" s="137">
        <v>4500000</v>
      </c>
      <c r="G40" s="137">
        <v>0</v>
      </c>
      <c r="H40" s="137">
        <f>IF(G40&lt;0,0,IF(G40&lt;50000000,G40*5%,IF(G40&lt;250000000,(G40-50000000)*15%+2500000,IF(G40&lt;500000000,(G40-250000000)*25%+32500000,IF(G40&gt;500000000,(G40-500000000)*30%+95000000)))))</f>
        <v>0</v>
      </c>
    </row>
    <row r="41" spans="2:8" x14ac:dyDescent="0.25">
      <c r="B41" s="16">
        <v>11</v>
      </c>
      <c r="C41" s="145">
        <v>44624</v>
      </c>
      <c r="D41" s="156" t="s">
        <v>636</v>
      </c>
      <c r="E41" s="162">
        <v>150000</v>
      </c>
      <c r="F41" s="137">
        <v>4500000</v>
      </c>
      <c r="G41" s="137">
        <v>0</v>
      </c>
      <c r="H41" s="137">
        <f t="shared" ref="H41:H42" si="6">IF(G41&lt;0,0,IF(G41&lt;50000000,G41*5%,IF(G41&lt;250000000,(G41-50000000)*15%+2500000,IF(G41&lt;500000000,(G41-250000000)*25%+32500000,IF(G41&gt;500000000,(G41-500000000)*30%+95000000)))))</f>
        <v>0</v>
      </c>
    </row>
    <row r="42" spans="2:8" x14ac:dyDescent="0.25">
      <c r="B42" s="16">
        <v>12</v>
      </c>
      <c r="C42" s="145">
        <v>44626</v>
      </c>
      <c r="D42" s="156" t="s">
        <v>637</v>
      </c>
      <c r="E42" s="162">
        <v>1100000</v>
      </c>
      <c r="F42" s="137">
        <v>4500000</v>
      </c>
      <c r="G42" s="137">
        <v>0</v>
      </c>
      <c r="H42" s="137">
        <f t="shared" si="6"/>
        <v>0</v>
      </c>
    </row>
    <row r="43" spans="2:8" x14ac:dyDescent="0.25">
      <c r="B43" s="16"/>
      <c r="C43" s="145"/>
      <c r="D43" s="135"/>
      <c r="E43" s="162"/>
      <c r="F43" s="137"/>
      <c r="G43" s="137"/>
      <c r="H43" s="137"/>
    </row>
    <row r="44" spans="2:8" x14ac:dyDescent="0.25">
      <c r="B44" s="16"/>
      <c r="C44" s="145"/>
      <c r="D44" s="135"/>
      <c r="E44" s="162"/>
      <c r="F44" s="137"/>
      <c r="G44" s="137"/>
      <c r="H44" s="137"/>
    </row>
    <row r="45" spans="2:8" x14ac:dyDescent="0.25">
      <c r="B45" s="20"/>
      <c r="C45" s="146"/>
      <c r="D45" s="20" t="s">
        <v>78</v>
      </c>
      <c r="E45" s="140">
        <f>SUM(E31:E38)</f>
        <v>4770000</v>
      </c>
      <c r="F45" s="140"/>
      <c r="G45" s="140">
        <f>SUM(G31:G38)</f>
        <v>0</v>
      </c>
      <c r="H45" s="140">
        <f>SUM(H31:H38)</f>
        <v>0</v>
      </c>
    </row>
    <row r="48" spans="2:8" ht="38.25" x14ac:dyDescent="0.25">
      <c r="B48" s="13" t="s">
        <v>0</v>
      </c>
      <c r="C48" s="144" t="s">
        <v>70</v>
      </c>
      <c r="D48" s="12" t="s">
        <v>581</v>
      </c>
      <c r="E48" s="136" t="s">
        <v>71</v>
      </c>
      <c r="F48" s="136" t="s">
        <v>65</v>
      </c>
      <c r="G48" s="136" t="s">
        <v>74</v>
      </c>
      <c r="H48" s="136" t="s">
        <v>73</v>
      </c>
    </row>
    <row r="49" spans="2:8" x14ac:dyDescent="0.25">
      <c r="B49" s="16">
        <v>1</v>
      </c>
      <c r="C49" s="145">
        <v>44658</v>
      </c>
      <c r="D49" s="169" t="s">
        <v>643</v>
      </c>
      <c r="E49" s="168">
        <v>950000</v>
      </c>
      <c r="F49" s="137">
        <v>4500000</v>
      </c>
      <c r="G49" s="137">
        <f t="shared" ref="G49:G52" si="7">IF((E49-F49)&lt;0,0,IF((E49-F49)&gt;0,(E49-F49)))</f>
        <v>0</v>
      </c>
      <c r="H49" s="137">
        <f>IF(G49&lt;0,0,IF(G49&lt;50000000,G49*5%,IF(G49&lt;250000000,(G49-50000000)*15%+2500000,IF(G49&lt;500000000,(G49-250000000)*25%+32500000,IF(G49&gt;500000000,(G49-500000000)*30%+95000000)))))</f>
        <v>0</v>
      </c>
    </row>
    <row r="50" spans="2:8" x14ac:dyDescent="0.25">
      <c r="B50" s="16">
        <v>2</v>
      </c>
      <c r="C50" s="145">
        <v>44658</v>
      </c>
      <c r="D50" s="169" t="s">
        <v>644</v>
      </c>
      <c r="E50" s="163">
        <v>325000</v>
      </c>
      <c r="F50" s="137">
        <v>4500000</v>
      </c>
      <c r="G50" s="137">
        <f t="shared" si="7"/>
        <v>0</v>
      </c>
      <c r="H50" s="137">
        <f>IF(G50&lt;0,0,IF(G50&lt;50000000,G50*5%,IF(G50&lt;250000000,(G50-50000000)*15%+2500000,IF(G50&lt;500000000,(G50-250000000)*25%+32500000,IF(G50&gt;500000000,(G50-500000000)*30%+95000000)))))</f>
        <v>0</v>
      </c>
    </row>
    <row r="51" spans="2:8" x14ac:dyDescent="0.25">
      <c r="B51" s="16">
        <v>3</v>
      </c>
      <c r="C51" s="145">
        <v>44678</v>
      </c>
      <c r="D51" s="169" t="s">
        <v>645</v>
      </c>
      <c r="E51" s="168">
        <v>1350000</v>
      </c>
      <c r="F51" s="137">
        <v>4500000</v>
      </c>
      <c r="G51" s="137">
        <f t="shared" si="7"/>
        <v>0</v>
      </c>
      <c r="H51" s="137">
        <f t="shared" ref="H51:H52" si="8">IF(G51&lt;0,0,IF(G51&lt;50000000,G51*5%,IF(G51&lt;250000000,(G51-50000000)*15%+2500000,IF(G51&lt;500000000,(G51-250000000)*25%+32500000,IF(G51&gt;500000000,(G51-500000000)*30%+95000000)))))</f>
        <v>0</v>
      </c>
    </row>
    <row r="52" spans="2:8" x14ac:dyDescent="0.25">
      <c r="B52" s="16">
        <v>4</v>
      </c>
      <c r="C52" s="145">
        <v>44679</v>
      </c>
      <c r="D52" s="169" t="s">
        <v>646</v>
      </c>
      <c r="E52" s="168">
        <v>450000</v>
      </c>
      <c r="F52" s="137">
        <v>4500000</v>
      </c>
      <c r="G52" s="137">
        <f t="shared" si="7"/>
        <v>0</v>
      </c>
      <c r="H52" s="137">
        <f t="shared" si="8"/>
        <v>0</v>
      </c>
    </row>
    <row r="53" spans="2:8" ht="15" customHeight="1" x14ac:dyDescent="0.25">
      <c r="B53" s="16">
        <v>5</v>
      </c>
      <c r="C53" s="145">
        <v>44679</v>
      </c>
      <c r="D53" s="170" t="s">
        <v>648</v>
      </c>
      <c r="E53" s="168">
        <v>3500000</v>
      </c>
      <c r="F53" s="137">
        <v>4500000</v>
      </c>
      <c r="G53" s="137">
        <f t="shared" ref="G53:G58" si="9">IF((E53-F53)&lt;0,0,IF((E53-F53)&gt;0,(E53-F53)))</f>
        <v>0</v>
      </c>
      <c r="H53" s="137">
        <f t="shared" ref="H53:H58" si="10">IF(G53&lt;0,0,IF(G53&lt;50000000,G53*5%,IF(G53&lt;250000000,(G53-50000000)*15%+2500000,IF(G53&lt;500000000,(G53-250000000)*25%+32500000,IF(G53&gt;500000000,(G53-500000000)*30%+95000000)))))</f>
        <v>0</v>
      </c>
    </row>
    <row r="54" spans="2:8" ht="15" customHeight="1" x14ac:dyDescent="0.25">
      <c r="B54" s="16">
        <v>6</v>
      </c>
      <c r="C54" s="145">
        <v>44679</v>
      </c>
      <c r="D54" s="169" t="s">
        <v>651</v>
      </c>
      <c r="E54" s="168">
        <v>2655500</v>
      </c>
      <c r="F54" s="137">
        <v>4500000</v>
      </c>
      <c r="G54" s="137">
        <f t="shared" si="9"/>
        <v>0</v>
      </c>
      <c r="H54" s="137">
        <f t="shared" si="10"/>
        <v>0</v>
      </c>
    </row>
    <row r="55" spans="2:8" ht="15" customHeight="1" x14ac:dyDescent="0.25">
      <c r="B55" s="16">
        <v>7</v>
      </c>
      <c r="C55" s="145">
        <v>44679</v>
      </c>
      <c r="D55" s="170" t="s">
        <v>647</v>
      </c>
      <c r="E55" s="168">
        <v>2505000</v>
      </c>
      <c r="F55" s="137">
        <v>4500000</v>
      </c>
      <c r="G55" s="137">
        <f t="shared" si="9"/>
        <v>0</v>
      </c>
      <c r="H55" s="137">
        <f t="shared" si="10"/>
        <v>0</v>
      </c>
    </row>
    <row r="56" spans="2:8" ht="15" customHeight="1" x14ac:dyDescent="0.25">
      <c r="B56" s="16">
        <v>8</v>
      </c>
      <c r="C56" s="145">
        <v>44679</v>
      </c>
      <c r="D56" s="171" t="s">
        <v>649</v>
      </c>
      <c r="E56" s="162">
        <v>1800000</v>
      </c>
      <c r="F56" s="137">
        <v>4500000</v>
      </c>
      <c r="G56" s="137">
        <f t="shared" si="9"/>
        <v>0</v>
      </c>
      <c r="H56" s="137">
        <f t="shared" si="10"/>
        <v>0</v>
      </c>
    </row>
    <row r="57" spans="2:8" ht="15" customHeight="1" x14ac:dyDescent="0.25">
      <c r="B57" s="16">
        <v>9</v>
      </c>
      <c r="C57" s="145">
        <v>44679</v>
      </c>
      <c r="D57" s="172" t="s">
        <v>650</v>
      </c>
      <c r="E57" s="162">
        <v>2135000</v>
      </c>
      <c r="F57" s="137">
        <v>4500000</v>
      </c>
      <c r="G57" s="137">
        <f t="shared" si="9"/>
        <v>0</v>
      </c>
      <c r="H57" s="137">
        <f t="shared" si="10"/>
        <v>0</v>
      </c>
    </row>
    <row r="58" spans="2:8" ht="15" customHeight="1" x14ac:dyDescent="0.25">
      <c r="B58" s="16">
        <v>10</v>
      </c>
      <c r="C58" s="145">
        <v>44679</v>
      </c>
      <c r="D58" s="172" t="s">
        <v>652</v>
      </c>
      <c r="E58" s="162">
        <v>1000000</v>
      </c>
      <c r="F58" s="137">
        <v>4500000</v>
      </c>
      <c r="G58" s="137">
        <f t="shared" si="9"/>
        <v>0</v>
      </c>
      <c r="H58" s="137">
        <f t="shared" si="10"/>
        <v>0</v>
      </c>
    </row>
    <row r="59" spans="2:8" ht="15" customHeight="1" x14ac:dyDescent="0.25">
      <c r="B59" s="16"/>
      <c r="C59" s="145"/>
      <c r="D59" s="135"/>
      <c r="E59" s="162"/>
      <c r="F59" s="137"/>
      <c r="G59" s="137"/>
      <c r="H59" s="137"/>
    </row>
    <row r="60" spans="2:8" ht="15" customHeight="1" x14ac:dyDescent="0.25">
      <c r="B60" s="16"/>
      <c r="C60" s="145"/>
      <c r="D60" s="135"/>
      <c r="E60" s="162"/>
      <c r="F60" s="137"/>
      <c r="G60" s="137"/>
      <c r="H60" s="137"/>
    </row>
    <row r="61" spans="2:8" ht="15" customHeight="1" x14ac:dyDescent="0.25">
      <c r="B61" s="20"/>
      <c r="C61" s="146"/>
      <c r="D61" s="20" t="s">
        <v>78</v>
      </c>
      <c r="E61" s="140">
        <f>SUM(E49:E58)</f>
        <v>16670500</v>
      </c>
      <c r="F61" s="140"/>
      <c r="G61" s="140">
        <f>SUM(G49:G52)</f>
        <v>0</v>
      </c>
      <c r="H61" s="140">
        <f>SUM(H49:H52)</f>
        <v>0</v>
      </c>
    </row>
    <row r="64" spans="2:8" ht="38.25" x14ac:dyDescent="0.25">
      <c r="B64" s="13" t="s">
        <v>0</v>
      </c>
      <c r="C64" s="144" t="s">
        <v>70</v>
      </c>
      <c r="D64" s="12" t="s">
        <v>581</v>
      </c>
      <c r="E64" s="136" t="s">
        <v>71</v>
      </c>
      <c r="F64" s="136" t="s">
        <v>65</v>
      </c>
      <c r="G64" s="136" t="s">
        <v>74</v>
      </c>
      <c r="H64" s="136" t="s">
        <v>73</v>
      </c>
    </row>
    <row r="65" spans="2:8" x14ac:dyDescent="0.25">
      <c r="B65" s="16">
        <v>1</v>
      </c>
      <c r="C65" s="145" t="s">
        <v>657</v>
      </c>
      <c r="D65" s="169" t="s">
        <v>643</v>
      </c>
      <c r="E65" s="168">
        <v>1000000</v>
      </c>
      <c r="F65" s="137">
        <v>4500000</v>
      </c>
      <c r="G65" s="137">
        <f t="shared" ref="G65:G66" si="11">IF((E65-F65)&lt;0,0,IF((E65-F65)&gt;0,(E65-F65)))</f>
        <v>0</v>
      </c>
      <c r="H65" s="137">
        <f>IF(G65&lt;0,0,IF(G65&lt;50000000,G65*5%,IF(G65&lt;250000000,(G65-50000000)*15%+2500000,IF(G65&lt;500000000,(G65-250000000)*25%+32500000,IF(G65&gt;500000000,(G65-500000000)*30%+95000000)))))</f>
        <v>0</v>
      </c>
    </row>
    <row r="66" spans="2:8" x14ac:dyDescent="0.25">
      <c r="B66" s="16">
        <v>2</v>
      </c>
      <c r="C66" s="145" t="s">
        <v>658</v>
      </c>
      <c r="D66" s="169" t="s">
        <v>644</v>
      </c>
      <c r="E66" s="163">
        <v>140000</v>
      </c>
      <c r="F66" s="137">
        <v>4500000</v>
      </c>
      <c r="G66" s="137">
        <f t="shared" si="11"/>
        <v>0</v>
      </c>
      <c r="H66" s="137">
        <f>IF(G66&lt;0,0,IF(G66&lt;50000000,G66*5%,IF(G66&lt;250000000,(G66-50000000)*15%+2500000,IF(G66&lt;500000000,(G66-250000000)*25%+32500000,IF(G66&gt;500000000,(G66-500000000)*30%+95000000)))))</f>
        <v>0</v>
      </c>
    </row>
    <row r="67" spans="2:8" x14ac:dyDescent="0.25">
      <c r="B67" s="16"/>
      <c r="C67" s="145"/>
      <c r="D67" s="135"/>
      <c r="E67" s="162"/>
      <c r="F67" s="137"/>
      <c r="G67" s="137"/>
      <c r="H67" s="137"/>
    </row>
    <row r="68" spans="2:8" x14ac:dyDescent="0.25">
      <c r="B68" s="20"/>
      <c r="C68" s="146"/>
      <c r="D68" s="20" t="s">
        <v>78</v>
      </c>
      <c r="E68" s="140">
        <f>SUM(E65:E66)</f>
        <v>1140000</v>
      </c>
      <c r="F68" s="140"/>
      <c r="G68" s="140">
        <f>SUM(G65:G66)</f>
        <v>0</v>
      </c>
      <c r="H68" s="140">
        <f>SUM(H65:H66)</f>
        <v>0</v>
      </c>
    </row>
    <row r="71" spans="2:8" ht="38.25" x14ac:dyDescent="0.25">
      <c r="B71" s="13" t="s">
        <v>0</v>
      </c>
      <c r="C71" s="144" t="s">
        <v>70</v>
      </c>
      <c r="D71" s="12" t="s">
        <v>581</v>
      </c>
      <c r="E71" s="136" t="s">
        <v>71</v>
      </c>
      <c r="F71" s="136" t="s">
        <v>65</v>
      </c>
      <c r="G71" s="136" t="s">
        <v>74</v>
      </c>
      <c r="H71" s="136" t="s">
        <v>73</v>
      </c>
    </row>
    <row r="72" spans="2:8" x14ac:dyDescent="0.25">
      <c r="B72" s="16">
        <v>1</v>
      </c>
      <c r="C72" s="145">
        <v>44719</v>
      </c>
      <c r="D72" s="169" t="s">
        <v>659</v>
      </c>
      <c r="E72" s="168">
        <v>1000000</v>
      </c>
      <c r="F72" s="137">
        <v>4500000</v>
      </c>
      <c r="G72" s="137">
        <f t="shared" ref="G72:G77" si="12">IF((E72-F72)&lt;0,0,IF((E72-F72)&gt;0,(E72-F72)))</f>
        <v>0</v>
      </c>
      <c r="H72" s="137">
        <f>IF(G72&lt;0,0,IF(G72&lt;50000000,G72*5%,IF(G72&lt;250000000,(G72-50000000)*15%+2500000,IF(G72&lt;500000000,(G72-250000000)*25%+32500000,IF(G72&gt;500000000,(G72-500000000)*30%+95000000)))))</f>
        <v>0</v>
      </c>
    </row>
    <row r="73" spans="2:8" x14ac:dyDescent="0.25">
      <c r="B73" s="16">
        <v>2</v>
      </c>
      <c r="C73" s="145">
        <v>44715</v>
      </c>
      <c r="D73" s="169" t="s">
        <v>660</v>
      </c>
      <c r="E73" s="163">
        <v>245000</v>
      </c>
      <c r="F73" s="137">
        <v>4500000</v>
      </c>
      <c r="G73" s="137">
        <f t="shared" si="12"/>
        <v>0</v>
      </c>
      <c r="H73" s="137">
        <f>IF(G73&lt;0,0,IF(G73&lt;50000000,G73*5%,IF(G73&lt;250000000,(G73-50000000)*15%+2500000,IF(G73&lt;500000000,(G73-250000000)*25%+32500000,IF(G73&gt;500000000,(G73-500000000)*30%+95000000)))))</f>
        <v>0</v>
      </c>
    </row>
    <row r="74" spans="2:8" x14ac:dyDescent="0.25">
      <c r="B74" s="16">
        <v>3</v>
      </c>
      <c r="C74" s="145">
        <v>44729</v>
      </c>
      <c r="D74" s="244" t="s">
        <v>661</v>
      </c>
      <c r="E74" s="168">
        <v>350000</v>
      </c>
      <c r="F74" s="137">
        <v>4500000</v>
      </c>
      <c r="G74" s="137">
        <f t="shared" si="12"/>
        <v>0</v>
      </c>
      <c r="H74" s="137">
        <f t="shared" ref="H74:H77" si="13">IF(G74&lt;0,0,IF(G74&lt;50000000,G74*5%,IF(G74&lt;250000000,(G74-50000000)*15%+2500000,IF(G74&lt;500000000,(G74-250000000)*25%+32500000,IF(G74&gt;500000000,(G74-500000000)*30%+95000000)))))</f>
        <v>0</v>
      </c>
    </row>
    <row r="75" spans="2:8" x14ac:dyDescent="0.25">
      <c r="B75" s="16">
        <v>4</v>
      </c>
      <c r="C75" s="145">
        <v>44729</v>
      </c>
      <c r="D75" s="244" t="s">
        <v>662</v>
      </c>
      <c r="E75" s="168">
        <v>180000</v>
      </c>
      <c r="F75" s="137">
        <v>4500000</v>
      </c>
      <c r="G75" s="137">
        <f t="shared" si="12"/>
        <v>0</v>
      </c>
      <c r="H75" s="137">
        <f t="shared" si="13"/>
        <v>0</v>
      </c>
    </row>
    <row r="76" spans="2:8" x14ac:dyDescent="0.25">
      <c r="B76" s="16">
        <v>5</v>
      </c>
      <c r="C76" s="145">
        <v>44736</v>
      </c>
      <c r="D76" s="244" t="s">
        <v>663</v>
      </c>
      <c r="E76" s="168">
        <v>489000</v>
      </c>
      <c r="F76" s="137">
        <v>4500000</v>
      </c>
      <c r="G76" s="137">
        <f t="shared" si="12"/>
        <v>0</v>
      </c>
      <c r="H76" s="137">
        <f t="shared" si="13"/>
        <v>0</v>
      </c>
    </row>
    <row r="77" spans="2:8" x14ac:dyDescent="0.25">
      <c r="B77" s="16">
        <v>6</v>
      </c>
      <c r="C77" s="145">
        <v>44742</v>
      </c>
      <c r="D77" s="244" t="s">
        <v>664</v>
      </c>
      <c r="E77" s="168">
        <v>355000</v>
      </c>
      <c r="F77" s="137">
        <v>4500000</v>
      </c>
      <c r="G77" s="137">
        <f t="shared" si="12"/>
        <v>0</v>
      </c>
      <c r="H77" s="137">
        <f t="shared" si="13"/>
        <v>0</v>
      </c>
    </row>
    <row r="78" spans="2:8" x14ac:dyDescent="0.25">
      <c r="B78" s="16"/>
      <c r="C78" s="145"/>
      <c r="D78" s="135"/>
      <c r="E78" s="162"/>
      <c r="F78" s="137"/>
      <c r="G78" s="137"/>
      <c r="H78" s="137"/>
    </row>
    <row r="79" spans="2:8" x14ac:dyDescent="0.25">
      <c r="B79" s="16"/>
      <c r="C79" s="145"/>
      <c r="D79" s="135"/>
      <c r="E79" s="162"/>
      <c r="F79" s="137"/>
      <c r="G79" s="137"/>
      <c r="H79" s="137"/>
    </row>
    <row r="80" spans="2:8" x14ac:dyDescent="0.25">
      <c r="B80" s="20"/>
      <c r="C80" s="146"/>
      <c r="D80" s="20" t="s">
        <v>78</v>
      </c>
      <c r="E80" s="140">
        <f>SUM(E72:E77)</f>
        <v>2619000</v>
      </c>
      <c r="F80" s="140"/>
      <c r="G80" s="140">
        <f>SUM(G72:G75)</f>
        <v>0</v>
      </c>
      <c r="H80" s="140">
        <f>SUM(H72:H75)</f>
        <v>0</v>
      </c>
    </row>
    <row r="82" spans="2:8" ht="38.25" x14ac:dyDescent="0.25">
      <c r="B82" s="13" t="s">
        <v>0</v>
      </c>
      <c r="C82" s="144" t="s">
        <v>70</v>
      </c>
      <c r="D82" s="12" t="s">
        <v>581</v>
      </c>
      <c r="E82" s="136" t="s">
        <v>71</v>
      </c>
      <c r="F82" s="136" t="s">
        <v>65</v>
      </c>
      <c r="G82" s="136" t="s">
        <v>74</v>
      </c>
      <c r="H82" s="136" t="s">
        <v>73</v>
      </c>
    </row>
    <row r="83" spans="2:8" x14ac:dyDescent="0.25">
      <c r="B83" s="16">
        <v>1</v>
      </c>
      <c r="C83" s="245" t="s">
        <v>667</v>
      </c>
      <c r="D83" s="169" t="s">
        <v>671</v>
      </c>
      <c r="E83" s="246">
        <v>1000000</v>
      </c>
      <c r="F83" s="137">
        <v>4500000</v>
      </c>
      <c r="G83" s="137">
        <f t="shared" ref="G83:G87" si="14">IF((E83-F83)&lt;0,0,IF((E83-F83)&gt;0,(E83-F83)))</f>
        <v>0</v>
      </c>
      <c r="H83" s="137">
        <f>IF(G83&lt;0,0,IF(G83&lt;50000000,G83*5%,IF(G83&lt;250000000,(G83-50000000)*15%+2500000,IF(G83&lt;500000000,(G83-250000000)*25%+32500000,IF(G83&gt;500000000,(G83-500000000)*30%+95000000)))))</f>
        <v>0</v>
      </c>
    </row>
    <row r="84" spans="2:8" x14ac:dyDescent="0.25">
      <c r="B84" s="16">
        <v>2</v>
      </c>
      <c r="C84" s="245" t="s">
        <v>667</v>
      </c>
      <c r="D84" s="244" t="s">
        <v>672</v>
      </c>
      <c r="E84" s="246">
        <v>245000</v>
      </c>
      <c r="F84" s="137">
        <v>4500000</v>
      </c>
      <c r="G84" s="137">
        <f t="shared" si="14"/>
        <v>0</v>
      </c>
      <c r="H84" s="137">
        <f>IF(G84&lt;0,0,IF(G84&lt;50000000,G84*5%,IF(G84&lt;250000000,(G84-50000000)*15%+2500000,IF(G84&lt;500000000,(G84-250000000)*25%+32500000,IF(G84&gt;500000000,(G84-500000000)*30%+95000000)))))</f>
        <v>0</v>
      </c>
    </row>
    <row r="85" spans="2:8" x14ac:dyDescent="0.25">
      <c r="B85" s="16">
        <v>3</v>
      </c>
      <c r="C85" s="245" t="s">
        <v>668</v>
      </c>
      <c r="D85" s="244" t="s">
        <v>673</v>
      </c>
      <c r="E85" s="246">
        <v>245000</v>
      </c>
      <c r="F85" s="137">
        <v>4500000</v>
      </c>
      <c r="G85" s="137">
        <f t="shared" si="14"/>
        <v>0</v>
      </c>
      <c r="H85" s="137">
        <f t="shared" ref="H85:H88" si="15">IF(G85&lt;0,0,IF(G85&lt;50000000,G85*5%,IF(G85&lt;250000000,(G85-50000000)*15%+2500000,IF(G85&lt;500000000,(G85-250000000)*25%+32500000,IF(G85&gt;500000000,(G85-500000000)*30%+95000000)))))</f>
        <v>0</v>
      </c>
    </row>
    <row r="86" spans="2:8" x14ac:dyDescent="0.25">
      <c r="B86" s="16">
        <v>4</v>
      </c>
      <c r="C86" s="245" t="s">
        <v>669</v>
      </c>
      <c r="D86" s="244" t="s">
        <v>674</v>
      </c>
      <c r="E86" s="246">
        <v>210000</v>
      </c>
      <c r="F86" s="137">
        <v>4500000</v>
      </c>
      <c r="G86" s="137">
        <f t="shared" si="14"/>
        <v>0</v>
      </c>
      <c r="H86" s="137">
        <f t="shared" si="15"/>
        <v>0</v>
      </c>
    </row>
    <row r="87" spans="2:8" x14ac:dyDescent="0.25">
      <c r="B87" s="16">
        <v>5</v>
      </c>
      <c r="C87" s="245" t="s">
        <v>670</v>
      </c>
      <c r="D87" s="244" t="s">
        <v>675</v>
      </c>
      <c r="E87" s="246">
        <v>245000</v>
      </c>
      <c r="F87" s="137">
        <v>4500000</v>
      </c>
      <c r="G87" s="137">
        <f t="shared" si="14"/>
        <v>0</v>
      </c>
      <c r="H87" s="137">
        <f t="shared" si="15"/>
        <v>0</v>
      </c>
    </row>
    <row r="88" spans="2:8" x14ac:dyDescent="0.25">
      <c r="B88" s="16">
        <v>6</v>
      </c>
      <c r="C88" s="245" t="s">
        <v>670</v>
      </c>
      <c r="D88" s="244" t="s">
        <v>676</v>
      </c>
      <c r="E88" s="246">
        <v>10000000</v>
      </c>
      <c r="F88" s="137">
        <v>4500000</v>
      </c>
      <c r="G88" s="137">
        <v>0</v>
      </c>
      <c r="H88" s="137">
        <f t="shared" si="15"/>
        <v>0</v>
      </c>
    </row>
    <row r="89" spans="2:8" x14ac:dyDescent="0.25">
      <c r="B89" s="16"/>
      <c r="C89" s="145"/>
      <c r="D89" s="135"/>
      <c r="E89" s="162"/>
      <c r="F89" s="137"/>
      <c r="G89" s="137"/>
      <c r="H89" s="137"/>
    </row>
    <row r="90" spans="2:8" x14ac:dyDescent="0.25">
      <c r="B90" s="16"/>
      <c r="C90" s="145"/>
      <c r="D90" s="135"/>
      <c r="E90" s="162"/>
      <c r="F90" s="137"/>
      <c r="G90" s="137"/>
      <c r="H90" s="137"/>
    </row>
    <row r="91" spans="2:8" x14ac:dyDescent="0.25">
      <c r="B91" s="20"/>
      <c r="C91" s="146"/>
      <c r="D91" s="20" t="s">
        <v>78</v>
      </c>
      <c r="E91" s="140">
        <f>SUM(E83:E88)</f>
        <v>11945000</v>
      </c>
      <c r="F91" s="140"/>
      <c r="G91" s="140">
        <f>SUM(G83:G86)</f>
        <v>0</v>
      </c>
      <c r="H91" s="140">
        <f>SUM(H83:H86)</f>
        <v>0</v>
      </c>
    </row>
    <row r="93" spans="2:8" ht="38.25" x14ac:dyDescent="0.25">
      <c r="B93" s="13" t="s">
        <v>0</v>
      </c>
      <c r="C93" s="144" t="s">
        <v>70</v>
      </c>
      <c r="D93" s="12" t="s">
        <v>581</v>
      </c>
      <c r="E93" s="136" t="s">
        <v>71</v>
      </c>
      <c r="F93" s="136" t="s">
        <v>65</v>
      </c>
      <c r="G93" s="136" t="s">
        <v>74</v>
      </c>
      <c r="H93" s="136" t="s">
        <v>73</v>
      </c>
    </row>
    <row r="94" spans="2:8" x14ac:dyDescent="0.25">
      <c r="B94" s="16">
        <v>1</v>
      </c>
      <c r="C94" s="245" t="s">
        <v>684</v>
      </c>
      <c r="D94" s="169" t="s">
        <v>677</v>
      </c>
      <c r="E94" s="246">
        <v>1100000</v>
      </c>
      <c r="F94" s="137">
        <v>4500000</v>
      </c>
      <c r="G94" s="137">
        <f t="shared" ref="G94:G98" si="16">IF((E94-F94)&lt;0,0,IF((E94-F94)&gt;0,(E94-F94)))</f>
        <v>0</v>
      </c>
      <c r="H94" s="137">
        <f>IF(G94&lt;0,0,IF(G94&lt;50000000,G94*5%,IF(G94&lt;250000000,(G94-50000000)*15%+2500000,IF(G94&lt;500000000,(G94-250000000)*25%+32500000,IF(G94&gt;500000000,(G94-500000000)*30%+95000000)))))</f>
        <v>0</v>
      </c>
    </row>
    <row r="95" spans="2:8" x14ac:dyDescent="0.25">
      <c r="B95" s="16">
        <v>2</v>
      </c>
      <c r="C95" s="245" t="s">
        <v>685</v>
      </c>
      <c r="D95" s="244" t="s">
        <v>678</v>
      </c>
      <c r="E95" s="246">
        <v>1000000</v>
      </c>
      <c r="F95" s="137">
        <v>4500000</v>
      </c>
      <c r="G95" s="137">
        <f t="shared" si="16"/>
        <v>0</v>
      </c>
      <c r="H95" s="137">
        <f>IF(G95&lt;0,0,IF(G95&lt;50000000,G95*5%,IF(G95&lt;250000000,(G95-50000000)*15%+2500000,IF(G95&lt;500000000,(G95-250000000)*25%+32500000,IF(G95&gt;500000000,(G95-500000000)*30%+95000000)))))</f>
        <v>0</v>
      </c>
    </row>
    <row r="96" spans="2:8" x14ac:dyDescent="0.25">
      <c r="B96" s="16">
        <v>3</v>
      </c>
      <c r="C96" s="245" t="s">
        <v>686</v>
      </c>
      <c r="D96" s="244" t="s">
        <v>679</v>
      </c>
      <c r="E96" s="246">
        <v>240000</v>
      </c>
      <c r="F96" s="137">
        <v>4500000</v>
      </c>
      <c r="G96" s="137">
        <f t="shared" si="16"/>
        <v>0</v>
      </c>
      <c r="H96" s="137">
        <f t="shared" ref="H96:H99" si="17">IF(G96&lt;0,0,IF(G96&lt;50000000,G96*5%,IF(G96&lt;250000000,(G96-50000000)*15%+2500000,IF(G96&lt;500000000,(G96-250000000)*25%+32500000,IF(G96&gt;500000000,(G96-500000000)*30%+95000000)))))</f>
        <v>0</v>
      </c>
    </row>
    <row r="97" spans="2:8" x14ac:dyDescent="0.25">
      <c r="B97" s="16">
        <v>4</v>
      </c>
      <c r="C97" s="245" t="s">
        <v>687</v>
      </c>
      <c r="D97" s="244" t="s">
        <v>680</v>
      </c>
      <c r="E97" s="246">
        <v>175000</v>
      </c>
      <c r="F97" s="137">
        <v>4500000</v>
      </c>
      <c r="G97" s="137">
        <f t="shared" si="16"/>
        <v>0</v>
      </c>
      <c r="H97" s="137">
        <f t="shared" si="17"/>
        <v>0</v>
      </c>
    </row>
    <row r="98" spans="2:8" x14ac:dyDescent="0.25">
      <c r="B98" s="16">
        <v>5</v>
      </c>
      <c r="C98" s="245" t="s">
        <v>688</v>
      </c>
      <c r="D98" s="244" t="s">
        <v>681</v>
      </c>
      <c r="E98" s="246">
        <v>245000</v>
      </c>
      <c r="F98" s="137">
        <v>4500000</v>
      </c>
      <c r="G98" s="137">
        <f t="shared" si="16"/>
        <v>0</v>
      </c>
      <c r="H98" s="137">
        <f t="shared" si="17"/>
        <v>0</v>
      </c>
    </row>
    <row r="99" spans="2:8" x14ac:dyDescent="0.25">
      <c r="B99" s="16">
        <v>6</v>
      </c>
      <c r="C99" s="247" t="s">
        <v>689</v>
      </c>
      <c r="D99" s="248" t="s">
        <v>682</v>
      </c>
      <c r="E99" s="246">
        <v>140000</v>
      </c>
      <c r="F99" s="137">
        <v>4500000</v>
      </c>
      <c r="G99" s="137">
        <v>0</v>
      </c>
      <c r="H99" s="137">
        <f t="shared" si="17"/>
        <v>0</v>
      </c>
    </row>
    <row r="100" spans="2:8" x14ac:dyDescent="0.25">
      <c r="B100" s="16">
        <v>7</v>
      </c>
      <c r="C100" s="247" t="s">
        <v>689</v>
      </c>
      <c r="D100" s="248" t="s">
        <v>683</v>
      </c>
      <c r="E100" s="246">
        <v>15000</v>
      </c>
      <c r="F100" s="137">
        <v>4500000</v>
      </c>
      <c r="G100" s="137">
        <v>0</v>
      </c>
      <c r="H100" s="137">
        <f t="shared" ref="H100" si="18">IF(G100&lt;0,0,IF(G100&lt;50000000,G100*5%,IF(G100&lt;250000000,(G100-50000000)*15%+2500000,IF(G100&lt;500000000,(G100-250000000)*25%+32500000,IF(G100&gt;500000000,(G100-500000000)*30%+95000000)))))</f>
        <v>0</v>
      </c>
    </row>
    <row r="101" spans="2:8" x14ac:dyDescent="0.25">
      <c r="B101" s="16"/>
      <c r="C101" s="145"/>
      <c r="D101" s="135"/>
      <c r="E101" s="162"/>
      <c r="F101" s="137"/>
      <c r="G101" s="137"/>
      <c r="H101" s="137"/>
    </row>
    <row r="102" spans="2:8" x14ac:dyDescent="0.25">
      <c r="B102" s="20"/>
      <c r="C102" s="146"/>
      <c r="D102" s="20" t="s">
        <v>78</v>
      </c>
      <c r="E102" s="140">
        <f>SUM(E94:E100)</f>
        <v>2915000</v>
      </c>
      <c r="F102" s="140"/>
      <c r="G102" s="140">
        <f>SUM(G94:G97)</f>
        <v>0</v>
      </c>
      <c r="H102" s="140">
        <f>SUM(H94:H97)</f>
        <v>0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59"/>
  <dimension ref="A1:V51"/>
  <sheetViews>
    <sheetView topLeftCell="A8" workbookViewId="0">
      <pane xSplit="2" ySplit="1" topLeftCell="D19" activePane="bottomRight" state="frozen"/>
      <selection activeCell="J32" sqref="J32"/>
      <selection pane="topRight" activeCell="J32" sqref="J32"/>
      <selection pane="bottomLeft" activeCell="J32" sqref="J32"/>
      <selection pane="bottomRight" activeCell="C9" sqref="C9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546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>
        <f>SUM(C9:N9)</f>
        <v>0</v>
      </c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>
        <f>SUM(C11:N11)</f>
        <v>0</v>
      </c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0</v>
      </c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>
        <f>SUM(O9:O14)</f>
        <v>0</v>
      </c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 t="shared" si="2"/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 t="shared" ref="D19:N19" si="3">IF(D17*5%&lt;500000,D17*5%,500000)</f>
        <v>0</v>
      </c>
      <c r="E19" s="37">
        <f t="shared" si="3"/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 t="shared" ref="C24:N24" si="5">C17-C22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72000000</v>
      </c>
      <c r="D27" s="53">
        <f>C27</f>
        <v>72000000</v>
      </c>
      <c r="E27" s="53">
        <f t="shared" ref="E27:M27" si="6">D27</f>
        <v>72000000</v>
      </c>
      <c r="F27" s="53">
        <f t="shared" si="6"/>
        <v>72000000</v>
      </c>
      <c r="G27" s="53">
        <f t="shared" si="6"/>
        <v>72000000</v>
      </c>
      <c r="H27" s="53">
        <f>G27</f>
        <v>72000000</v>
      </c>
      <c r="I27" s="53">
        <f t="shared" si="6"/>
        <v>72000000</v>
      </c>
      <c r="J27" s="53">
        <f t="shared" si="6"/>
        <v>72000000</v>
      </c>
      <c r="K27" s="53">
        <f t="shared" si="6"/>
        <v>72000000</v>
      </c>
      <c r="L27" s="53">
        <f t="shared" si="6"/>
        <v>72000000</v>
      </c>
      <c r="M27" s="53">
        <f t="shared" si="6"/>
        <v>72000000</v>
      </c>
      <c r="N27" s="53">
        <f>M27</f>
        <v>72000000</v>
      </c>
      <c r="O27" s="53">
        <f>N27</f>
        <v>72000000</v>
      </c>
      <c r="P27" s="103">
        <f>O27</f>
        <v>72000000</v>
      </c>
      <c r="Q27" s="103">
        <f>P27</f>
        <v>72000000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f>P31/12</f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9:Q14 D10:N14 C9:N9" xr:uid="{00000000-0002-0000-1D00-000000000000}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Q59"/>
  <sheetViews>
    <sheetView topLeftCell="F1" zoomScale="75" zoomScaleNormal="100" workbookViewId="0">
      <selection activeCell="P20" sqref="P20"/>
    </sheetView>
  </sheetViews>
  <sheetFormatPr defaultColWidth="9.140625" defaultRowHeight="15" x14ac:dyDescent="0.25"/>
  <cols>
    <col min="1" max="1" width="10.140625" style="3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236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4000000</v>
      </c>
      <c r="D13" s="92">
        <v>4000000</v>
      </c>
      <c r="E13" s="162">
        <v>4000000</v>
      </c>
      <c r="F13" s="92">
        <v>4000000</v>
      </c>
      <c r="G13" s="92">
        <v>4000000</v>
      </c>
      <c r="H13" s="92">
        <v>4000000</v>
      </c>
      <c r="I13" s="92">
        <v>4000000</v>
      </c>
      <c r="J13" s="92">
        <v>4000000</v>
      </c>
      <c r="K13" s="92">
        <v>4000000</v>
      </c>
      <c r="L13" s="92">
        <v>4000000</v>
      </c>
      <c r="M13" s="92">
        <v>4000000</v>
      </c>
      <c r="N13" s="92">
        <v>4000000</v>
      </c>
      <c r="O13" s="32">
        <f>SUM(C13:N13)</f>
        <v>48000000</v>
      </c>
      <c r="P13" s="123">
        <f t="shared" ref="P13:P18" si="1">Q13</f>
        <v>48000000</v>
      </c>
      <c r="Q13" s="123">
        <f>F13*12</f>
        <v>48000000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>
        <v>500000</v>
      </c>
      <c r="E16" s="92">
        <v>5080000</v>
      </c>
      <c r="F16" s="92">
        <v>1875000</v>
      </c>
      <c r="G16" s="92">
        <v>1875000</v>
      </c>
      <c r="H16" s="92"/>
      <c r="I16" s="92"/>
      <c r="J16" s="92">
        <v>3300000</v>
      </c>
      <c r="K16" s="92">
        <v>5585000</v>
      </c>
      <c r="L16" s="92">
        <v>625000</v>
      </c>
      <c r="M16" s="92"/>
      <c r="N16" s="92"/>
      <c r="O16" s="32">
        <f>SUM(C16:N16)</f>
        <v>18840000</v>
      </c>
      <c r="P16" s="123">
        <f t="shared" si="1"/>
        <v>22500000</v>
      </c>
      <c r="Q16" s="123">
        <f t="shared" si="2"/>
        <v>22500000</v>
      </c>
    </row>
    <row r="17" spans="1:17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17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17" ht="20.100000000000001" customHeight="1" x14ac:dyDescent="0.25">
      <c r="A19" s="30">
        <v>7</v>
      </c>
      <c r="B19" s="31" t="s">
        <v>15</v>
      </c>
      <c r="C19" s="37">
        <f t="shared" ref="C19:N19" si="3">SUM(C13:C18)</f>
        <v>4000000</v>
      </c>
      <c r="D19" s="37">
        <f t="shared" si="3"/>
        <v>4500000</v>
      </c>
      <c r="E19" s="37">
        <f t="shared" si="3"/>
        <v>9080000</v>
      </c>
      <c r="F19" s="37">
        <f t="shared" si="3"/>
        <v>5875000</v>
      </c>
      <c r="G19" s="37">
        <f t="shared" si="3"/>
        <v>5875000</v>
      </c>
      <c r="H19" s="37">
        <f t="shared" si="3"/>
        <v>4000000</v>
      </c>
      <c r="I19" s="37">
        <f t="shared" si="3"/>
        <v>4000000</v>
      </c>
      <c r="J19" s="37">
        <f t="shared" si="3"/>
        <v>7300000</v>
      </c>
      <c r="K19" s="37">
        <f t="shared" si="3"/>
        <v>9585000</v>
      </c>
      <c r="L19" s="37">
        <f t="shared" si="3"/>
        <v>4625000</v>
      </c>
      <c r="M19" s="37">
        <f t="shared" si="3"/>
        <v>4000000</v>
      </c>
      <c r="N19" s="37">
        <f t="shared" si="3"/>
        <v>4000000</v>
      </c>
      <c r="O19" s="38">
        <f>SUM(O13:O18)</f>
        <v>66840000</v>
      </c>
      <c r="P19" s="103">
        <f>SUM(P13:P18)</f>
        <v>70500000</v>
      </c>
      <c r="Q19" s="103">
        <f>SUM(Q13:Q18)</f>
        <v>70500000</v>
      </c>
    </row>
    <row r="20" spans="1:17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4000000</v>
      </c>
      <c r="P20" s="110">
        <v>4000000</v>
      </c>
      <c r="Q20" s="110"/>
    </row>
    <row r="21" spans="1:17" s="55" customFormat="1" ht="20.100000000000001" customHeight="1" x14ac:dyDescent="0.25">
      <c r="A21" s="51">
        <v>9</v>
      </c>
      <c r="B21" s="52" t="s">
        <v>17</v>
      </c>
      <c r="C21" s="259">
        <f>C19+C20</f>
        <v>4000000</v>
      </c>
      <c r="D21" s="259">
        <f t="shared" ref="D21:N21" si="4">D19+D20</f>
        <v>4500000</v>
      </c>
      <c r="E21" s="259">
        <f t="shared" si="4"/>
        <v>9080000</v>
      </c>
      <c r="F21" s="259">
        <f t="shared" si="4"/>
        <v>5875000</v>
      </c>
      <c r="G21" s="259">
        <f>G19+G20</f>
        <v>5875000</v>
      </c>
      <c r="H21" s="259">
        <f t="shared" si="4"/>
        <v>4000000</v>
      </c>
      <c r="I21" s="259">
        <f t="shared" si="4"/>
        <v>4000000</v>
      </c>
      <c r="J21" s="259">
        <f t="shared" si="4"/>
        <v>7300000</v>
      </c>
      <c r="K21" s="259">
        <f t="shared" si="4"/>
        <v>9585000</v>
      </c>
      <c r="L21" s="259">
        <f t="shared" si="4"/>
        <v>4625000</v>
      </c>
      <c r="M21" s="259">
        <f t="shared" si="4"/>
        <v>4000000</v>
      </c>
      <c r="N21" s="259">
        <f t="shared" si="4"/>
        <v>4000000</v>
      </c>
      <c r="O21" s="259">
        <f>O19+O20</f>
        <v>70840000</v>
      </c>
      <c r="P21" s="103">
        <f>P19+P20</f>
        <v>74500000</v>
      </c>
      <c r="Q21" s="103">
        <f>Q19+Q20</f>
        <v>70500000</v>
      </c>
    </row>
    <row r="22" spans="1:17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</row>
    <row r="23" spans="1:17" ht="20.100000000000001" customHeight="1" x14ac:dyDescent="0.25">
      <c r="A23" s="30">
        <v>10</v>
      </c>
      <c r="B23" s="31" t="s">
        <v>19</v>
      </c>
      <c r="C23" s="257">
        <f>IF(C21*5%&lt;500000,C21*5%,500000)</f>
        <v>200000</v>
      </c>
      <c r="D23" s="257">
        <f t="shared" ref="D23:O23" si="5">IF(D21*5%&lt;500000,D21*5%,500000)</f>
        <v>225000</v>
      </c>
      <c r="E23" s="257">
        <f t="shared" si="5"/>
        <v>454000</v>
      </c>
      <c r="F23" s="257">
        <f t="shared" si="5"/>
        <v>293750</v>
      </c>
      <c r="G23" s="257">
        <f>IF(G21*5%&lt;500000,G21*5%,500000)</f>
        <v>293750</v>
      </c>
      <c r="H23" s="257">
        <f t="shared" si="5"/>
        <v>200000</v>
      </c>
      <c r="I23" s="257">
        <f t="shared" si="5"/>
        <v>200000</v>
      </c>
      <c r="J23" s="257">
        <f t="shared" si="5"/>
        <v>365000</v>
      </c>
      <c r="K23" s="257">
        <f t="shared" si="5"/>
        <v>479250</v>
      </c>
      <c r="L23" s="257">
        <f t="shared" si="5"/>
        <v>231250</v>
      </c>
      <c r="M23" s="257">
        <f t="shared" si="5"/>
        <v>200000</v>
      </c>
      <c r="N23" s="257">
        <f t="shared" si="5"/>
        <v>200000</v>
      </c>
      <c r="O23" s="257">
        <f>IF(O21*5%&lt;6000000,O21*5%,6000000)</f>
        <v>3542000</v>
      </c>
      <c r="P23" s="110">
        <f>IF(P21*5%&lt;6000000,P21*5%,6000000)</f>
        <v>3725000</v>
      </c>
      <c r="Q23" s="110">
        <f>IF(Q21*5%&lt;6000000,Q21*5%,6000000)</f>
        <v>3525000</v>
      </c>
    </row>
    <row r="24" spans="1:17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</row>
    <row r="25" spans="1:17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</row>
    <row r="26" spans="1:17" ht="20.100000000000001" customHeight="1" x14ac:dyDescent="0.25">
      <c r="A26" s="30">
        <v>13</v>
      </c>
      <c r="B26" s="31" t="s">
        <v>22</v>
      </c>
      <c r="C26" s="257">
        <f t="shared" ref="C26:N26" si="6">SUM(C23:C25)</f>
        <v>200000</v>
      </c>
      <c r="D26" s="257">
        <f t="shared" si="6"/>
        <v>225000</v>
      </c>
      <c r="E26" s="257">
        <f t="shared" si="6"/>
        <v>454000</v>
      </c>
      <c r="F26" s="257">
        <f t="shared" si="6"/>
        <v>293750</v>
      </c>
      <c r="G26" s="257">
        <f>SUM(G23:G25)</f>
        <v>293750</v>
      </c>
      <c r="H26" s="257">
        <f t="shared" si="6"/>
        <v>200000</v>
      </c>
      <c r="I26" s="257">
        <f t="shared" si="6"/>
        <v>200000</v>
      </c>
      <c r="J26" s="257">
        <f t="shared" si="6"/>
        <v>365000</v>
      </c>
      <c r="K26" s="257">
        <f t="shared" si="6"/>
        <v>479250</v>
      </c>
      <c r="L26" s="257">
        <f t="shared" si="6"/>
        <v>231250</v>
      </c>
      <c r="M26" s="257">
        <f t="shared" si="6"/>
        <v>200000</v>
      </c>
      <c r="N26" s="257">
        <f t="shared" si="6"/>
        <v>200000</v>
      </c>
      <c r="O26" s="263">
        <f>SUM(O22:O25)</f>
        <v>3542000</v>
      </c>
      <c r="P26" s="103">
        <f>SUM(P23:P25)</f>
        <v>3725000</v>
      </c>
      <c r="Q26" s="103">
        <f>SUM(Q23:Q25)</f>
        <v>3525000</v>
      </c>
    </row>
    <row r="27" spans="1:17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</row>
    <row r="28" spans="1:17" s="55" customFormat="1" ht="20.100000000000001" customHeight="1" x14ac:dyDescent="0.25">
      <c r="A28" s="51">
        <v>14</v>
      </c>
      <c r="B28" s="52" t="s">
        <v>24</v>
      </c>
      <c r="C28" s="255">
        <f>C21-C26</f>
        <v>3800000</v>
      </c>
      <c r="D28" s="255">
        <f t="shared" ref="D28:O28" si="7">D21-D26</f>
        <v>4275000</v>
      </c>
      <c r="E28" s="255">
        <f t="shared" si="7"/>
        <v>8626000</v>
      </c>
      <c r="F28" s="255">
        <f t="shared" si="7"/>
        <v>5581250</v>
      </c>
      <c r="G28" s="255">
        <f>G21-G26</f>
        <v>5581250</v>
      </c>
      <c r="H28" s="255">
        <f t="shared" si="7"/>
        <v>3800000</v>
      </c>
      <c r="I28" s="255">
        <f t="shared" si="7"/>
        <v>3800000</v>
      </c>
      <c r="J28" s="255">
        <f t="shared" si="7"/>
        <v>6935000</v>
      </c>
      <c r="K28" s="255">
        <f t="shared" si="7"/>
        <v>9105750</v>
      </c>
      <c r="L28" s="255">
        <f t="shared" si="7"/>
        <v>4393750</v>
      </c>
      <c r="M28" s="255">
        <f t="shared" si="7"/>
        <v>3800000</v>
      </c>
      <c r="N28" s="255">
        <f t="shared" si="7"/>
        <v>3800000</v>
      </c>
      <c r="O28" s="255">
        <f t="shared" si="7"/>
        <v>67298000</v>
      </c>
      <c r="P28" s="103">
        <f>P21-P26</f>
        <v>70775000</v>
      </c>
      <c r="Q28" s="103">
        <f>Q21-Q26</f>
        <v>66975000</v>
      </c>
    </row>
    <row r="29" spans="1:17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</row>
    <row r="30" spans="1:17" s="9" customFormat="1" ht="30" x14ac:dyDescent="0.25">
      <c r="A30" s="41">
        <v>16</v>
      </c>
      <c r="B30" s="42" t="s">
        <v>26</v>
      </c>
      <c r="C30" s="253">
        <f>SUM(C28)*C10/C11</f>
        <v>45600000</v>
      </c>
      <c r="D30" s="253">
        <f>SUM(C28:D28)*D10/D11</f>
        <v>48450000</v>
      </c>
      <c r="E30" s="253">
        <f>SUM(C28:E28)*E10/E11</f>
        <v>66804000</v>
      </c>
      <c r="F30" s="253">
        <f>SUM(C28:F28)*F10/F11</f>
        <v>66846750</v>
      </c>
      <c r="G30" s="253">
        <f>SUM(C28:G28)*G10/G11</f>
        <v>66872400</v>
      </c>
      <c r="H30" s="253">
        <f>SUM(C28:H28)*H10/H11</f>
        <v>63327000</v>
      </c>
      <c r="I30" s="253">
        <f>SUM(C28:I28)*I10/I11</f>
        <v>60794571.428571425</v>
      </c>
      <c r="J30" s="253">
        <f>SUM(C28:J28)*J10/J11</f>
        <v>63597750</v>
      </c>
      <c r="K30" s="253">
        <f>SUM(C28:K28)*K10/K11</f>
        <v>68672333.333333328</v>
      </c>
      <c r="L30" s="253">
        <f>SUM(C28:L28)*L10/L11</f>
        <v>67077600</v>
      </c>
      <c r="M30" s="253">
        <f>SUM(C28:M28)*M10/M11</f>
        <v>65125090.909090906</v>
      </c>
      <c r="N30" s="253">
        <f>SUM(C28:N28)*N10/N11</f>
        <v>63498000</v>
      </c>
      <c r="O30" s="254">
        <f>O28</f>
        <v>67298000</v>
      </c>
      <c r="P30" s="108">
        <f>P28</f>
        <v>70775000</v>
      </c>
      <c r="Q30" s="108">
        <f>Q28</f>
        <v>66975000</v>
      </c>
    </row>
    <row r="31" spans="1:17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17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</row>
    <row r="33" spans="1:17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</row>
    <row r="34" spans="1:17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</row>
    <row r="35" spans="1:17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17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17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17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17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17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17" s="2" customFormat="1" ht="20.100000000000001" customHeight="1" x14ac:dyDescent="0.25">
      <c r="A41" s="47"/>
      <c r="B41" s="49" t="s">
        <v>34</v>
      </c>
      <c r="C41" s="50">
        <f t="shared" ref="C41:J41" si="14">C21-C25-C36</f>
        <v>4000000</v>
      </c>
      <c r="D41" s="50">
        <f t="shared" si="14"/>
        <v>4500000</v>
      </c>
      <c r="E41" s="50">
        <f t="shared" si="14"/>
        <v>9080000</v>
      </c>
      <c r="F41" s="50">
        <f t="shared" si="14"/>
        <v>5875000</v>
      </c>
      <c r="G41" s="50">
        <f t="shared" si="14"/>
        <v>5875000</v>
      </c>
      <c r="H41" s="50">
        <f t="shared" si="14"/>
        <v>4000000</v>
      </c>
      <c r="I41" s="50">
        <f t="shared" si="14"/>
        <v>4000000</v>
      </c>
      <c r="J41" s="50">
        <f t="shared" si="14"/>
        <v>7300000</v>
      </c>
      <c r="K41" s="50">
        <f>K21-K25-K36</f>
        <v>9585000</v>
      </c>
      <c r="L41" s="50">
        <f>L21-L25-L36</f>
        <v>4625000</v>
      </c>
      <c r="M41" s="50">
        <f>M21-M25-M36</f>
        <v>4000000</v>
      </c>
      <c r="N41" s="50">
        <f>N21-N25-N36</f>
        <v>4000000</v>
      </c>
      <c r="O41" s="50">
        <f>O21-O25-O36-O38</f>
        <v>70840000</v>
      </c>
      <c r="P41" s="126">
        <f>P21-P25-P36</f>
        <v>74500000</v>
      </c>
      <c r="Q41" s="126">
        <f>Q21-Q25-Q36</f>
        <v>70500000</v>
      </c>
    </row>
    <row r="42" spans="1:17" x14ac:dyDescent="0.25">
      <c r="P42" s="114"/>
      <c r="Q42" s="114"/>
    </row>
    <row r="43" spans="1:17" x14ac:dyDescent="0.25">
      <c r="P43" s="114"/>
      <c r="Q43" s="114"/>
    </row>
    <row r="44" spans="1:17" x14ac:dyDescent="0.25">
      <c r="P44" s="114"/>
      <c r="Q44" s="114"/>
    </row>
    <row r="45" spans="1:17" x14ac:dyDescent="0.25">
      <c r="P45" s="114"/>
      <c r="Q45" s="114"/>
    </row>
    <row r="46" spans="1:17" x14ac:dyDescent="0.25">
      <c r="P46" s="114"/>
      <c r="Q46" s="114"/>
    </row>
    <row r="47" spans="1:17" s="62" customFormat="1" x14ac:dyDescent="0.25">
      <c r="B47" s="63" t="s">
        <v>65</v>
      </c>
      <c r="C47" s="63" t="s">
        <v>66</v>
      </c>
      <c r="P47" s="118"/>
      <c r="Q47" s="118"/>
    </row>
    <row r="48" spans="1:17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1E00-000000000000}"/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2"/>
  <dimension ref="A1:V59"/>
  <sheetViews>
    <sheetView topLeftCell="C1" zoomScale="66" zoomScaleNormal="46" workbookViewId="0">
      <selection activeCell="P31" sqref="P31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246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x14ac:dyDescent="0.25">
      <c r="A8" s="23"/>
      <c r="B8" s="24"/>
      <c r="C8" s="25"/>
      <c r="D8" s="25"/>
      <c r="E8" s="25"/>
      <c r="F8" s="25"/>
      <c r="G8" s="25"/>
      <c r="H8" s="25"/>
      <c r="I8" s="25"/>
      <c r="J8" s="25"/>
      <c r="K8" s="25"/>
      <c r="L8" s="7"/>
      <c r="M8" s="25"/>
      <c r="N8" s="25"/>
      <c r="O8" s="23"/>
      <c r="P8" s="19"/>
      <c r="Q8" s="19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4500000</v>
      </c>
      <c r="D13" s="92">
        <v>4500000</v>
      </c>
      <c r="E13" s="162">
        <v>4500000</v>
      </c>
      <c r="F13" s="92">
        <v>4500000</v>
      </c>
      <c r="G13" s="92">
        <v>4500000</v>
      </c>
      <c r="H13" s="92">
        <v>4500000</v>
      </c>
      <c r="I13" s="92">
        <v>4500000</v>
      </c>
      <c r="J13" s="92">
        <v>4500000</v>
      </c>
      <c r="K13" s="92">
        <v>4500000</v>
      </c>
      <c r="L13" s="92">
        <v>4500000</v>
      </c>
      <c r="M13" s="92">
        <v>4500000</v>
      </c>
      <c r="N13" s="92">
        <v>4500000</v>
      </c>
      <c r="O13" s="32">
        <f>SUM(C13:N13)</f>
        <v>54000000</v>
      </c>
      <c r="P13" s="123">
        <f t="shared" ref="P13:P18" si="1">Q13</f>
        <v>54000000</v>
      </c>
      <c r="Q13" s="123">
        <f>F13*12</f>
        <v>54000000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4500000</v>
      </c>
      <c r="D19" s="37">
        <f t="shared" si="3"/>
        <v>4500000</v>
      </c>
      <c r="E19" s="37">
        <f t="shared" si="3"/>
        <v>4500000</v>
      </c>
      <c r="F19" s="37">
        <f t="shared" si="3"/>
        <v>4500000</v>
      </c>
      <c r="G19" s="37">
        <f t="shared" si="3"/>
        <v>4500000</v>
      </c>
      <c r="H19" s="37">
        <f t="shared" si="3"/>
        <v>4500000</v>
      </c>
      <c r="I19" s="37">
        <f t="shared" si="3"/>
        <v>4500000</v>
      </c>
      <c r="J19" s="37">
        <f t="shared" si="3"/>
        <v>4500000</v>
      </c>
      <c r="K19" s="37">
        <f t="shared" si="3"/>
        <v>4500000</v>
      </c>
      <c r="L19" s="37">
        <f t="shared" si="3"/>
        <v>4500000</v>
      </c>
      <c r="M19" s="37">
        <f t="shared" si="3"/>
        <v>4500000</v>
      </c>
      <c r="N19" s="37">
        <f t="shared" si="3"/>
        <v>4500000</v>
      </c>
      <c r="O19" s="38">
        <f>SUM(O13:O18)</f>
        <v>54000000</v>
      </c>
      <c r="P19" s="103">
        <f>SUM(P13:P18)</f>
        <v>54000000</v>
      </c>
      <c r="Q19" s="103">
        <f>SUM(Q13:Q18)</f>
        <v>54000000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4500000</v>
      </c>
      <c r="P20" s="110">
        <v>4500000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4500000</v>
      </c>
      <c r="D21" s="259">
        <f t="shared" ref="D21:N21" si="4">D19+D20</f>
        <v>4500000</v>
      </c>
      <c r="E21" s="259">
        <f t="shared" si="4"/>
        <v>4500000</v>
      </c>
      <c r="F21" s="259">
        <f t="shared" si="4"/>
        <v>4500000</v>
      </c>
      <c r="G21" s="259">
        <f>G19+G20</f>
        <v>4500000</v>
      </c>
      <c r="H21" s="259">
        <f t="shared" si="4"/>
        <v>4500000</v>
      </c>
      <c r="I21" s="259">
        <f t="shared" si="4"/>
        <v>4500000</v>
      </c>
      <c r="J21" s="259">
        <f t="shared" si="4"/>
        <v>4500000</v>
      </c>
      <c r="K21" s="259">
        <f t="shared" si="4"/>
        <v>4500000</v>
      </c>
      <c r="L21" s="259">
        <f t="shared" si="4"/>
        <v>4500000</v>
      </c>
      <c r="M21" s="259">
        <f t="shared" si="4"/>
        <v>4500000</v>
      </c>
      <c r="N21" s="259">
        <f t="shared" si="4"/>
        <v>4500000</v>
      </c>
      <c r="O21" s="259">
        <f>O19+O20</f>
        <v>58500000</v>
      </c>
      <c r="P21" s="103">
        <f>P19+P20</f>
        <v>58500000</v>
      </c>
      <c r="Q21" s="103">
        <f>Q19+Q20</f>
        <v>54000000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225000</v>
      </c>
      <c r="D23" s="257">
        <f t="shared" ref="D23:N23" si="5">IF(D21*5%&lt;500000,D21*5%,500000)</f>
        <v>225000</v>
      </c>
      <c r="E23" s="257">
        <f t="shared" si="5"/>
        <v>225000</v>
      </c>
      <c r="F23" s="257">
        <f t="shared" si="5"/>
        <v>225000</v>
      </c>
      <c r="G23" s="257">
        <f>IF(G21*5%&lt;500000,G21*5%,500000)</f>
        <v>225000</v>
      </c>
      <c r="H23" s="257">
        <f t="shared" si="5"/>
        <v>225000</v>
      </c>
      <c r="I23" s="257">
        <f t="shared" si="5"/>
        <v>225000</v>
      </c>
      <c r="J23" s="257">
        <f t="shared" si="5"/>
        <v>225000</v>
      </c>
      <c r="K23" s="257">
        <f t="shared" si="5"/>
        <v>225000</v>
      </c>
      <c r="L23" s="257">
        <f t="shared" si="5"/>
        <v>225000</v>
      </c>
      <c r="M23" s="257">
        <f t="shared" si="5"/>
        <v>225000</v>
      </c>
      <c r="N23" s="257">
        <f t="shared" si="5"/>
        <v>225000</v>
      </c>
      <c r="O23" s="257">
        <f>IF(O21*5%&lt;6000000,O21*5%,6000000)</f>
        <v>2925000</v>
      </c>
      <c r="P23" s="110">
        <f>IF(P21*5%&lt;6000000,P21*5%,6000000)</f>
        <v>2925000</v>
      </c>
      <c r="Q23" s="110">
        <f>IF(Q21*5%&lt;6000000,Q21*5%,6000000)</f>
        <v>2700000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225000</v>
      </c>
      <c r="D26" s="257">
        <f t="shared" si="6"/>
        <v>225000</v>
      </c>
      <c r="E26" s="257">
        <f t="shared" si="6"/>
        <v>225000</v>
      </c>
      <c r="F26" s="257">
        <f t="shared" si="6"/>
        <v>225000</v>
      </c>
      <c r="G26" s="257">
        <f>SUM(G23:G25)</f>
        <v>225000</v>
      </c>
      <c r="H26" s="257">
        <f t="shared" si="6"/>
        <v>225000</v>
      </c>
      <c r="I26" s="257">
        <f t="shared" si="6"/>
        <v>225000</v>
      </c>
      <c r="J26" s="257">
        <f t="shared" si="6"/>
        <v>225000</v>
      </c>
      <c r="K26" s="257">
        <f t="shared" si="6"/>
        <v>225000</v>
      </c>
      <c r="L26" s="257">
        <f t="shared" si="6"/>
        <v>225000</v>
      </c>
      <c r="M26" s="257">
        <f t="shared" si="6"/>
        <v>225000</v>
      </c>
      <c r="N26" s="257">
        <f t="shared" si="6"/>
        <v>225000</v>
      </c>
      <c r="O26" s="263">
        <f>SUM(O22:O25)</f>
        <v>2925000</v>
      </c>
      <c r="P26" s="103">
        <f>SUM(P23:P25)</f>
        <v>2925000</v>
      </c>
      <c r="Q26" s="103">
        <f>SUM(Q23:Q25)</f>
        <v>2700000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4275000</v>
      </c>
      <c r="D28" s="255">
        <f t="shared" ref="D28:O28" si="7">D21-D26</f>
        <v>4275000</v>
      </c>
      <c r="E28" s="255">
        <f t="shared" si="7"/>
        <v>4275000</v>
      </c>
      <c r="F28" s="255">
        <f t="shared" si="7"/>
        <v>4275000</v>
      </c>
      <c r="G28" s="255">
        <f>G21-G26</f>
        <v>4275000</v>
      </c>
      <c r="H28" s="255">
        <f t="shared" si="7"/>
        <v>4275000</v>
      </c>
      <c r="I28" s="255">
        <f t="shared" si="7"/>
        <v>4275000</v>
      </c>
      <c r="J28" s="255">
        <f t="shared" si="7"/>
        <v>4275000</v>
      </c>
      <c r="K28" s="255">
        <f t="shared" si="7"/>
        <v>4275000</v>
      </c>
      <c r="L28" s="255">
        <f t="shared" si="7"/>
        <v>4275000</v>
      </c>
      <c r="M28" s="255">
        <f t="shared" si="7"/>
        <v>4275000</v>
      </c>
      <c r="N28" s="255">
        <f t="shared" si="7"/>
        <v>4275000</v>
      </c>
      <c r="O28" s="255">
        <f t="shared" si="7"/>
        <v>55575000</v>
      </c>
      <c r="P28" s="103">
        <f>P21-P26</f>
        <v>55575000</v>
      </c>
      <c r="Q28" s="103">
        <f>Q21-Q26</f>
        <v>51300000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51300000</v>
      </c>
      <c r="D30" s="253">
        <f>SUM(C28:D28)*D10/D11</f>
        <v>51300000</v>
      </c>
      <c r="E30" s="253">
        <f>SUM(C28:E28)*E10/E11</f>
        <v>51300000</v>
      </c>
      <c r="F30" s="253">
        <f>SUM(C28:F28)*F10/F11</f>
        <v>51300000</v>
      </c>
      <c r="G30" s="253">
        <f>SUM(C28:G28)*G10/G11</f>
        <v>51300000</v>
      </c>
      <c r="H30" s="253">
        <f>SUM(C28:H28)*H10/H11</f>
        <v>51300000</v>
      </c>
      <c r="I30" s="253">
        <f>SUM(C28:I28)*I10/I11</f>
        <v>51300000</v>
      </c>
      <c r="J30" s="253">
        <f>SUM(C28:J28)*J10/J11</f>
        <v>51300000</v>
      </c>
      <c r="K30" s="253">
        <f>SUM(C28:K28)*K10/K11</f>
        <v>51300000</v>
      </c>
      <c r="L30" s="253">
        <f>SUM(C28:L28)*L10/L11</f>
        <v>51300000</v>
      </c>
      <c r="M30" s="253">
        <f>SUM(C28:M28)*M10/M11</f>
        <v>51300000</v>
      </c>
      <c r="N30" s="253">
        <f>SUM(C28:N28)*N10/N11</f>
        <v>51300000</v>
      </c>
      <c r="O30" s="254">
        <f>O28</f>
        <v>55575000</v>
      </c>
      <c r="P30" s="108">
        <f>P28</f>
        <v>55575000</v>
      </c>
      <c r="Q30" s="108">
        <f>Q28</f>
        <v>51300000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103">
        <f>IF(P32&lt;0,0,IF(P32&lt;50000000,P32*5%,IF(P32&lt;250000000,(P32-50000000)*15%+2500000,IF(P32&lt;500000000,(P32-250000000)*25%+32500000,IF(P32&gt;500000000,(P32-500000000)*30%+95000000)))))</f>
        <v>0</v>
      </c>
      <c r="Q33" s="103">
        <f>IF(Q32&lt;0,0,IF(Q32&lt;50000000,Q32*5%,IF(Q32&lt;250000000,(Q32-50000000)*15%+2500000,IF(Q32&lt;500000000,(Q32-250000000)*25%+32500000,IF(Q32&gt;500000000,(Q32-500000000)*30%+95000000)))))</f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2">D33-D34</f>
        <v>0</v>
      </c>
      <c r="E35" s="255">
        <f t="shared" si="12"/>
        <v>0</v>
      </c>
      <c r="F35" s="255">
        <f t="shared" si="12"/>
        <v>0</v>
      </c>
      <c r="G35" s="255">
        <f t="shared" si="12"/>
        <v>0</v>
      </c>
      <c r="H35" s="255">
        <f t="shared" si="12"/>
        <v>0</v>
      </c>
      <c r="I35" s="255">
        <f t="shared" si="12"/>
        <v>0</v>
      </c>
      <c r="J35" s="255">
        <f t="shared" si="12"/>
        <v>0</v>
      </c>
      <c r="K35" s="255">
        <f t="shared" si="12"/>
        <v>0</v>
      </c>
      <c r="L35" s="255">
        <f t="shared" si="12"/>
        <v>0</v>
      </c>
      <c r="M35" s="255">
        <f t="shared" si="12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3">C21-C25-C36</f>
        <v>4500000</v>
      </c>
      <c r="D41" s="50">
        <f t="shared" si="13"/>
        <v>4500000</v>
      </c>
      <c r="E41" s="50">
        <f t="shared" si="13"/>
        <v>4500000</v>
      </c>
      <c r="F41" s="50">
        <f t="shared" si="13"/>
        <v>4500000</v>
      </c>
      <c r="G41" s="50">
        <f t="shared" si="13"/>
        <v>4500000</v>
      </c>
      <c r="H41" s="50">
        <f t="shared" si="13"/>
        <v>4500000</v>
      </c>
      <c r="I41" s="50">
        <f t="shared" si="13"/>
        <v>4500000</v>
      </c>
      <c r="J41" s="50">
        <f t="shared" si="13"/>
        <v>4500000</v>
      </c>
      <c r="K41" s="50">
        <f>K21-K25-K36</f>
        <v>4500000</v>
      </c>
      <c r="L41" s="50">
        <f>L21-L25-L36</f>
        <v>4500000</v>
      </c>
      <c r="M41" s="50">
        <f>M21-M25-M36</f>
        <v>4500000</v>
      </c>
      <c r="N41" s="50">
        <f>N21-N25-N36</f>
        <v>4500000</v>
      </c>
      <c r="O41" s="50">
        <f>O21-O25-O36-O38</f>
        <v>58500000</v>
      </c>
      <c r="P41" s="126">
        <f>P21-P25-P36</f>
        <v>58500000</v>
      </c>
      <c r="Q41" s="126">
        <f>Q21-Q25-Q36</f>
        <v>54000000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1F00-000000000000}"/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1"/>
  <dimension ref="A1:V59"/>
  <sheetViews>
    <sheetView zoomScale="54" workbookViewId="0">
      <selection activeCell="P31" sqref="P31"/>
    </sheetView>
  </sheetViews>
  <sheetFormatPr defaultColWidth="9.140625" defaultRowHeight="15" x14ac:dyDescent="0.25"/>
  <cols>
    <col min="1" max="1" width="8.5703125" style="3" bestFit="1" customWidth="1"/>
    <col min="2" max="2" width="78.570312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430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2000000</v>
      </c>
      <c r="D13" s="92">
        <v>2000000</v>
      </c>
      <c r="E13" s="150">
        <v>2000000</v>
      </c>
      <c r="F13" s="92">
        <v>2000000</v>
      </c>
      <c r="G13" s="92">
        <v>2000000</v>
      </c>
      <c r="H13" s="92">
        <v>2000000</v>
      </c>
      <c r="I13" s="92">
        <v>2000000</v>
      </c>
      <c r="J13" s="92">
        <v>2000000</v>
      </c>
      <c r="K13" s="92">
        <v>2000000</v>
      </c>
      <c r="L13" s="92">
        <v>2000000</v>
      </c>
      <c r="M13" s="92">
        <v>2000000</v>
      </c>
      <c r="N13" s="92">
        <v>2000000</v>
      </c>
      <c r="O13" s="32">
        <f>SUM(C13:N13)</f>
        <v>24000000</v>
      </c>
      <c r="P13" s="123">
        <f t="shared" ref="P13:P18" si="1">Q13</f>
        <v>24000000</v>
      </c>
      <c r="Q13" s="123">
        <f>F13*12</f>
        <v>24000000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2000000</v>
      </c>
      <c r="D19" s="37">
        <f t="shared" si="3"/>
        <v>2000000</v>
      </c>
      <c r="E19" s="37">
        <f t="shared" si="3"/>
        <v>2000000</v>
      </c>
      <c r="F19" s="37">
        <f t="shared" si="3"/>
        <v>2000000</v>
      </c>
      <c r="G19" s="37">
        <f t="shared" si="3"/>
        <v>2000000</v>
      </c>
      <c r="H19" s="37">
        <f t="shared" si="3"/>
        <v>2000000</v>
      </c>
      <c r="I19" s="37">
        <f t="shared" si="3"/>
        <v>2000000</v>
      </c>
      <c r="J19" s="37">
        <f t="shared" si="3"/>
        <v>2000000</v>
      </c>
      <c r="K19" s="37">
        <f t="shared" si="3"/>
        <v>2000000</v>
      </c>
      <c r="L19" s="37">
        <f t="shared" si="3"/>
        <v>2000000</v>
      </c>
      <c r="M19" s="37">
        <f t="shared" si="3"/>
        <v>2000000</v>
      </c>
      <c r="N19" s="37">
        <f t="shared" si="3"/>
        <v>2000000</v>
      </c>
      <c r="O19" s="38">
        <f>SUM(O13:O18)</f>
        <v>24000000</v>
      </c>
      <c r="P19" s="103">
        <f>SUM(P13:P18)</f>
        <v>24000000</v>
      </c>
      <c r="Q19" s="103">
        <f>SUM(Q13:Q18)</f>
        <v>24000000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2000000</v>
      </c>
      <c r="P20" s="110">
        <v>2000000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2000000</v>
      </c>
      <c r="D21" s="259">
        <f t="shared" ref="D21:N21" si="4">D19+D20</f>
        <v>2000000</v>
      </c>
      <c r="E21" s="259">
        <f t="shared" si="4"/>
        <v>2000000</v>
      </c>
      <c r="F21" s="259">
        <f t="shared" si="4"/>
        <v>2000000</v>
      </c>
      <c r="G21" s="259">
        <f>G19+G20</f>
        <v>2000000</v>
      </c>
      <c r="H21" s="259">
        <f t="shared" si="4"/>
        <v>2000000</v>
      </c>
      <c r="I21" s="259">
        <f t="shared" si="4"/>
        <v>2000000</v>
      </c>
      <c r="J21" s="259">
        <f t="shared" si="4"/>
        <v>2000000</v>
      </c>
      <c r="K21" s="259">
        <f t="shared" si="4"/>
        <v>2000000</v>
      </c>
      <c r="L21" s="259">
        <f t="shared" si="4"/>
        <v>2000000</v>
      </c>
      <c r="M21" s="259">
        <f t="shared" si="4"/>
        <v>2000000</v>
      </c>
      <c r="N21" s="259">
        <f t="shared" si="4"/>
        <v>2000000</v>
      </c>
      <c r="O21" s="259">
        <f>O19+O20</f>
        <v>26000000</v>
      </c>
      <c r="P21" s="103">
        <f>P19+P20</f>
        <v>26000000</v>
      </c>
      <c r="Q21" s="103">
        <f>Q19+Q20</f>
        <v>24000000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100000</v>
      </c>
      <c r="D23" s="257">
        <f t="shared" ref="D23:N23" si="5">IF(D21*5%&lt;500000,D21*5%,500000)</f>
        <v>100000</v>
      </c>
      <c r="E23" s="257">
        <f t="shared" si="5"/>
        <v>100000</v>
      </c>
      <c r="F23" s="257">
        <f t="shared" si="5"/>
        <v>100000</v>
      </c>
      <c r="G23" s="257">
        <f>IF(G21*5%&lt;500000,G21*5%,500000)</f>
        <v>100000</v>
      </c>
      <c r="H23" s="257">
        <f t="shared" si="5"/>
        <v>100000</v>
      </c>
      <c r="I23" s="257">
        <f t="shared" si="5"/>
        <v>100000</v>
      </c>
      <c r="J23" s="257">
        <f t="shared" si="5"/>
        <v>100000</v>
      </c>
      <c r="K23" s="257">
        <f t="shared" si="5"/>
        <v>100000</v>
      </c>
      <c r="L23" s="257">
        <f t="shared" si="5"/>
        <v>100000</v>
      </c>
      <c r="M23" s="257">
        <f t="shared" si="5"/>
        <v>100000</v>
      </c>
      <c r="N23" s="257">
        <f t="shared" si="5"/>
        <v>100000</v>
      </c>
      <c r="O23" s="257">
        <f>IF(O21*5%&lt;6000000,O21*5%,6000000)</f>
        <v>1300000</v>
      </c>
      <c r="P23" s="110">
        <f>IF(P21*5%&lt;6000000,P21*5%,6000000)</f>
        <v>1300000</v>
      </c>
      <c r="Q23" s="110">
        <f>IF(Q21*5%&lt;6000000,Q21*5%,6000000)</f>
        <v>1200000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100000</v>
      </c>
      <c r="D26" s="257">
        <f t="shared" si="6"/>
        <v>100000</v>
      </c>
      <c r="E26" s="257">
        <f t="shared" si="6"/>
        <v>100000</v>
      </c>
      <c r="F26" s="257">
        <f t="shared" si="6"/>
        <v>100000</v>
      </c>
      <c r="G26" s="257">
        <f>SUM(G23:G25)</f>
        <v>100000</v>
      </c>
      <c r="H26" s="257">
        <f t="shared" si="6"/>
        <v>100000</v>
      </c>
      <c r="I26" s="257">
        <f t="shared" si="6"/>
        <v>100000</v>
      </c>
      <c r="J26" s="257">
        <f t="shared" si="6"/>
        <v>100000</v>
      </c>
      <c r="K26" s="257">
        <f t="shared" si="6"/>
        <v>100000</v>
      </c>
      <c r="L26" s="257">
        <f t="shared" si="6"/>
        <v>100000</v>
      </c>
      <c r="M26" s="257">
        <f t="shared" si="6"/>
        <v>100000</v>
      </c>
      <c r="N26" s="257">
        <f t="shared" si="6"/>
        <v>100000</v>
      </c>
      <c r="O26" s="263">
        <f>SUM(O22:O25)</f>
        <v>1300000</v>
      </c>
      <c r="P26" s="103">
        <f>SUM(P23:P25)</f>
        <v>1300000</v>
      </c>
      <c r="Q26" s="103">
        <f>SUM(Q23:Q25)</f>
        <v>1200000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1900000</v>
      </c>
      <c r="D28" s="255">
        <f t="shared" ref="D28:O28" si="7">D21-D26</f>
        <v>1900000</v>
      </c>
      <c r="E28" s="255">
        <f t="shared" si="7"/>
        <v>1900000</v>
      </c>
      <c r="F28" s="255">
        <f t="shared" si="7"/>
        <v>1900000</v>
      </c>
      <c r="G28" s="255">
        <f>G21-G26</f>
        <v>1900000</v>
      </c>
      <c r="H28" s="255">
        <f t="shared" si="7"/>
        <v>1900000</v>
      </c>
      <c r="I28" s="255">
        <f t="shared" si="7"/>
        <v>1900000</v>
      </c>
      <c r="J28" s="255">
        <f t="shared" si="7"/>
        <v>1900000</v>
      </c>
      <c r="K28" s="255">
        <f t="shared" si="7"/>
        <v>1900000</v>
      </c>
      <c r="L28" s="255">
        <f t="shared" si="7"/>
        <v>1900000</v>
      </c>
      <c r="M28" s="255">
        <f t="shared" si="7"/>
        <v>1900000</v>
      </c>
      <c r="N28" s="255">
        <f t="shared" si="7"/>
        <v>1900000</v>
      </c>
      <c r="O28" s="255">
        <f t="shared" si="7"/>
        <v>24700000</v>
      </c>
      <c r="P28" s="103">
        <f>P21-P26</f>
        <v>24700000</v>
      </c>
      <c r="Q28" s="103">
        <f>Q21-Q26</f>
        <v>22800000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22800000</v>
      </c>
      <c r="D30" s="253">
        <f>SUM(C28:D28)*D10/D11</f>
        <v>22800000</v>
      </c>
      <c r="E30" s="253">
        <f>SUM(C28:E28)*E10/E11</f>
        <v>22800000</v>
      </c>
      <c r="F30" s="253">
        <f>SUM(C28:F28)*F10/F11</f>
        <v>22800000</v>
      </c>
      <c r="G30" s="253">
        <f>SUM(C28:G28)*G10/G11</f>
        <v>22800000</v>
      </c>
      <c r="H30" s="253">
        <f>SUM(C28:H28)*H10/H11</f>
        <v>22800000</v>
      </c>
      <c r="I30" s="253">
        <f>SUM(C28:I28)*I10/I11</f>
        <v>22800000</v>
      </c>
      <c r="J30" s="253">
        <f>SUM(C28:J28)*J10/J11</f>
        <v>22800000</v>
      </c>
      <c r="K30" s="253">
        <f>SUM(C28:K28)*K10/K11</f>
        <v>22800000</v>
      </c>
      <c r="L30" s="253">
        <f>SUM(C28:L28)*L10/L11</f>
        <v>22800000</v>
      </c>
      <c r="M30" s="253">
        <f>SUM(C28:M28)*M10/M11</f>
        <v>22800000</v>
      </c>
      <c r="N30" s="253">
        <f>SUM(C28:N28)*N10/N11</f>
        <v>22800000</v>
      </c>
      <c r="O30" s="254">
        <f>O28</f>
        <v>24700000</v>
      </c>
      <c r="P30" s="108">
        <f>P28</f>
        <v>24700000</v>
      </c>
      <c r="Q30" s="108">
        <f>Q28</f>
        <v>22800000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54000000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2000000</v>
      </c>
      <c r="D41" s="50">
        <f t="shared" si="14"/>
        <v>2000000</v>
      </c>
      <c r="E41" s="50">
        <f t="shared" si="14"/>
        <v>2000000</v>
      </c>
      <c r="F41" s="50">
        <f t="shared" si="14"/>
        <v>2000000</v>
      </c>
      <c r="G41" s="50">
        <f t="shared" si="14"/>
        <v>2000000</v>
      </c>
      <c r="H41" s="50">
        <f t="shared" si="14"/>
        <v>2000000</v>
      </c>
      <c r="I41" s="50">
        <f t="shared" si="14"/>
        <v>2000000</v>
      </c>
      <c r="J41" s="50">
        <f t="shared" si="14"/>
        <v>2000000</v>
      </c>
      <c r="K41" s="50">
        <f>K21-K25-K36</f>
        <v>2000000</v>
      </c>
      <c r="L41" s="50">
        <f>L21-L25-L36</f>
        <v>2000000</v>
      </c>
      <c r="M41" s="50">
        <f>M21-M25-M36</f>
        <v>2000000</v>
      </c>
      <c r="N41" s="50">
        <f>N21-N25-N36</f>
        <v>2000000</v>
      </c>
      <c r="O41" s="50">
        <f>O21-O25-O36-O38</f>
        <v>26000000</v>
      </c>
      <c r="P41" s="126">
        <f>P21-P25-P36</f>
        <v>26000000</v>
      </c>
      <c r="Q41" s="126">
        <f>Q21-Q25-Q36</f>
        <v>24000000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2000-000000000000}"/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2"/>
  <dimension ref="A1:V59"/>
  <sheetViews>
    <sheetView topLeftCell="C1" zoomScale="63" workbookViewId="0">
      <selection activeCell="P20" sqref="P20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263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3000000</v>
      </c>
      <c r="D13" s="150">
        <v>3000000</v>
      </c>
      <c r="E13" s="162">
        <v>3000000</v>
      </c>
      <c r="F13" s="92">
        <v>3000000</v>
      </c>
      <c r="G13" s="92">
        <v>3000000</v>
      </c>
      <c r="H13" s="92">
        <v>3150000</v>
      </c>
      <c r="I13" s="92">
        <v>3050000</v>
      </c>
      <c r="J13" s="92">
        <v>3000000</v>
      </c>
      <c r="K13" s="92">
        <v>3150000</v>
      </c>
      <c r="L13" s="92">
        <v>3150000</v>
      </c>
      <c r="M13" s="92">
        <v>3200000</v>
      </c>
      <c r="N13" s="92">
        <v>3300000</v>
      </c>
      <c r="O13" s="32">
        <f>SUM(C13:N13)</f>
        <v>37000000</v>
      </c>
      <c r="P13" s="123">
        <f t="shared" ref="P13:P18" si="1">Q13</f>
        <v>36000000</v>
      </c>
      <c r="Q13" s="123">
        <f>F13*12</f>
        <v>36000000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>
        <v>100000</v>
      </c>
      <c r="K16" s="92"/>
      <c r="L16" s="92"/>
      <c r="M16" s="92"/>
      <c r="N16" s="92"/>
      <c r="O16" s="32">
        <f>J16</f>
        <v>100000</v>
      </c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3000000</v>
      </c>
      <c r="D19" s="37">
        <f t="shared" si="3"/>
        <v>3000000</v>
      </c>
      <c r="E19" s="37">
        <f t="shared" si="3"/>
        <v>3000000</v>
      </c>
      <c r="F19" s="37">
        <f t="shared" si="3"/>
        <v>3000000</v>
      </c>
      <c r="G19" s="37">
        <f t="shared" si="3"/>
        <v>3000000</v>
      </c>
      <c r="H19" s="37">
        <f t="shared" si="3"/>
        <v>3150000</v>
      </c>
      <c r="I19" s="37">
        <f t="shared" si="3"/>
        <v>3050000</v>
      </c>
      <c r="J19" s="37">
        <f t="shared" si="3"/>
        <v>3100000</v>
      </c>
      <c r="K19" s="37">
        <f t="shared" si="3"/>
        <v>3150000</v>
      </c>
      <c r="L19" s="37">
        <f t="shared" si="3"/>
        <v>3150000</v>
      </c>
      <c r="M19" s="37">
        <f t="shared" si="3"/>
        <v>3200000</v>
      </c>
      <c r="N19" s="37">
        <f t="shared" si="3"/>
        <v>3300000</v>
      </c>
      <c r="O19" s="38">
        <f>SUM(O13:O18)</f>
        <v>37100000</v>
      </c>
      <c r="P19" s="103">
        <f>SUM(P13:P18)</f>
        <v>36000000</v>
      </c>
      <c r="Q19" s="103">
        <f>SUM(Q13:Q18)</f>
        <v>36000000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3000000</v>
      </c>
      <c r="P20" s="110">
        <v>3000000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3000000</v>
      </c>
      <c r="D21" s="259">
        <f t="shared" ref="D21:N21" si="4">D19+D20</f>
        <v>3000000</v>
      </c>
      <c r="E21" s="259">
        <f t="shared" si="4"/>
        <v>3000000</v>
      </c>
      <c r="F21" s="259">
        <f t="shared" si="4"/>
        <v>3000000</v>
      </c>
      <c r="G21" s="259">
        <f>G19+G20</f>
        <v>3000000</v>
      </c>
      <c r="H21" s="259">
        <f t="shared" si="4"/>
        <v>3150000</v>
      </c>
      <c r="I21" s="259">
        <f t="shared" si="4"/>
        <v>3050000</v>
      </c>
      <c r="J21" s="259">
        <f t="shared" si="4"/>
        <v>3100000</v>
      </c>
      <c r="K21" s="259">
        <f t="shared" si="4"/>
        <v>3150000</v>
      </c>
      <c r="L21" s="259">
        <f t="shared" si="4"/>
        <v>3150000</v>
      </c>
      <c r="M21" s="259">
        <f t="shared" si="4"/>
        <v>3200000</v>
      </c>
      <c r="N21" s="259">
        <f t="shared" si="4"/>
        <v>3300000</v>
      </c>
      <c r="O21" s="259">
        <f>O19+O20</f>
        <v>40100000</v>
      </c>
      <c r="P21" s="103">
        <f>P19+P20</f>
        <v>39000000</v>
      </c>
      <c r="Q21" s="103">
        <f>Q19+Q20</f>
        <v>36000000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150000</v>
      </c>
      <c r="D23" s="257">
        <f t="shared" ref="D23:N23" si="5">IF(D21*5%&lt;500000,D21*5%,500000)</f>
        <v>150000</v>
      </c>
      <c r="E23" s="257">
        <f t="shared" si="5"/>
        <v>150000</v>
      </c>
      <c r="F23" s="257">
        <f t="shared" si="5"/>
        <v>150000</v>
      </c>
      <c r="G23" s="257">
        <f>IF(G21*5%&lt;500000,G21*5%,500000)</f>
        <v>150000</v>
      </c>
      <c r="H23" s="257">
        <f t="shared" si="5"/>
        <v>157500</v>
      </c>
      <c r="I23" s="257">
        <f t="shared" si="5"/>
        <v>152500</v>
      </c>
      <c r="J23" s="257">
        <f t="shared" si="5"/>
        <v>155000</v>
      </c>
      <c r="K23" s="257">
        <f t="shared" si="5"/>
        <v>157500</v>
      </c>
      <c r="L23" s="257">
        <f t="shared" si="5"/>
        <v>157500</v>
      </c>
      <c r="M23" s="257">
        <f t="shared" si="5"/>
        <v>160000</v>
      </c>
      <c r="N23" s="257">
        <f t="shared" si="5"/>
        <v>165000</v>
      </c>
      <c r="O23" s="258">
        <f>SUM(C23:N23)</f>
        <v>1855000</v>
      </c>
      <c r="P23" s="110">
        <f>IF(P21*5%&lt;6000000,P21*5%,6000000)</f>
        <v>1950000</v>
      </c>
      <c r="Q23" s="110">
        <f>IF(Q21*5%&lt;6000000,Q21*5%,6000000)</f>
        <v>1800000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150000</v>
      </c>
      <c r="D26" s="257">
        <f t="shared" si="6"/>
        <v>150000</v>
      </c>
      <c r="E26" s="257">
        <f t="shared" si="6"/>
        <v>150000</v>
      </c>
      <c r="F26" s="257">
        <f t="shared" si="6"/>
        <v>150000</v>
      </c>
      <c r="G26" s="257">
        <f>SUM(G23:G25)</f>
        <v>150000</v>
      </c>
      <c r="H26" s="257">
        <f t="shared" si="6"/>
        <v>157500</v>
      </c>
      <c r="I26" s="257">
        <f t="shared" si="6"/>
        <v>152500</v>
      </c>
      <c r="J26" s="257">
        <f t="shared" si="6"/>
        <v>155000</v>
      </c>
      <c r="K26" s="257">
        <f t="shared" si="6"/>
        <v>157500</v>
      </c>
      <c r="L26" s="257">
        <f t="shared" si="6"/>
        <v>157500</v>
      </c>
      <c r="M26" s="257">
        <f t="shared" si="6"/>
        <v>160000</v>
      </c>
      <c r="N26" s="257">
        <f t="shared" si="6"/>
        <v>165000</v>
      </c>
      <c r="O26" s="263">
        <f>SUM(O22:O25)</f>
        <v>1855000</v>
      </c>
      <c r="P26" s="103">
        <f>SUM(P23:P25)</f>
        <v>1950000</v>
      </c>
      <c r="Q26" s="103">
        <f>SUM(Q23:Q25)</f>
        <v>1800000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2850000</v>
      </c>
      <c r="D28" s="255">
        <f t="shared" ref="D28:O28" si="7">D21-D26</f>
        <v>2850000</v>
      </c>
      <c r="E28" s="255">
        <f t="shared" si="7"/>
        <v>2850000</v>
      </c>
      <c r="F28" s="255">
        <f t="shared" si="7"/>
        <v>2850000</v>
      </c>
      <c r="G28" s="255">
        <f>G21-G26</f>
        <v>2850000</v>
      </c>
      <c r="H28" s="255">
        <f t="shared" si="7"/>
        <v>2992500</v>
      </c>
      <c r="I28" s="255">
        <f t="shared" si="7"/>
        <v>2897500</v>
      </c>
      <c r="J28" s="255">
        <f t="shared" si="7"/>
        <v>2945000</v>
      </c>
      <c r="K28" s="255">
        <f t="shared" si="7"/>
        <v>2992500</v>
      </c>
      <c r="L28" s="255">
        <f t="shared" si="7"/>
        <v>2992500</v>
      </c>
      <c r="M28" s="255">
        <f t="shared" si="7"/>
        <v>3040000</v>
      </c>
      <c r="N28" s="255">
        <f t="shared" si="7"/>
        <v>3135000</v>
      </c>
      <c r="O28" s="255">
        <f t="shared" si="7"/>
        <v>38245000</v>
      </c>
      <c r="P28" s="103">
        <f>P21-P26</f>
        <v>37050000</v>
      </c>
      <c r="Q28" s="103">
        <f>Q21-Q26</f>
        <v>34200000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34200000</v>
      </c>
      <c r="D30" s="253">
        <f>SUM(C28:D28)*D10/D11</f>
        <v>34200000</v>
      </c>
      <c r="E30" s="253">
        <f>SUM(C28:E28)*E10/E11</f>
        <v>34200000</v>
      </c>
      <c r="F30" s="253">
        <f>SUM(C28:F28)*F10/F11</f>
        <v>34200000</v>
      </c>
      <c r="G30" s="253">
        <f>SUM(C28:G28)*G10/G11</f>
        <v>34200000</v>
      </c>
      <c r="H30" s="253">
        <f>SUM(C28:H28)*H10/H11</f>
        <v>34485000</v>
      </c>
      <c r="I30" s="253">
        <f>SUM(C28:I28)*I10/I11</f>
        <v>34525714.285714284</v>
      </c>
      <c r="J30" s="253">
        <f>SUM(C28:J28)*J10/J11</f>
        <v>34627500</v>
      </c>
      <c r="K30" s="253">
        <f>SUM(C28:K28)*K10/K11</f>
        <v>34770000</v>
      </c>
      <c r="L30" s="253">
        <f>SUM(C28:L28)*L10/L11</f>
        <v>34884000</v>
      </c>
      <c r="M30" s="253">
        <f>SUM(C28:M28)*M10/M11</f>
        <v>35029090.909090906</v>
      </c>
      <c r="N30" s="253">
        <f>SUM(C28:N28)*N10/N11</f>
        <v>35245000</v>
      </c>
      <c r="O30" s="254">
        <f>O28</f>
        <v>38245000</v>
      </c>
      <c r="P30" s="108">
        <f>P28</f>
        <v>37050000</v>
      </c>
      <c r="Q30" s="108">
        <f>Q28</f>
        <v>34200000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54000000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3000000</v>
      </c>
      <c r="D41" s="50">
        <f t="shared" si="14"/>
        <v>3000000</v>
      </c>
      <c r="E41" s="50">
        <f t="shared" si="14"/>
        <v>3000000</v>
      </c>
      <c r="F41" s="50">
        <f t="shared" si="14"/>
        <v>3000000</v>
      </c>
      <c r="G41" s="50">
        <f t="shared" si="14"/>
        <v>3000000</v>
      </c>
      <c r="H41" s="50">
        <f t="shared" si="14"/>
        <v>3150000</v>
      </c>
      <c r="I41" s="50">
        <f t="shared" si="14"/>
        <v>3050000</v>
      </c>
      <c r="J41" s="50">
        <f t="shared" si="14"/>
        <v>3100000</v>
      </c>
      <c r="K41" s="50">
        <f>K21-K25-K36</f>
        <v>3150000</v>
      </c>
      <c r="L41" s="50">
        <f>L21-L25-L36</f>
        <v>3150000</v>
      </c>
      <c r="M41" s="50">
        <f>M21-M25-M36</f>
        <v>3200000</v>
      </c>
      <c r="N41" s="50">
        <f>N21-N25-N36</f>
        <v>3300000</v>
      </c>
      <c r="O41" s="50">
        <f>O21-O25-O36-O38</f>
        <v>40100000</v>
      </c>
      <c r="P41" s="126">
        <f>P21-P25-P36</f>
        <v>39000000</v>
      </c>
      <c r="Q41" s="126">
        <f>Q21-Q25-Q36</f>
        <v>36000000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2100-000000000000}"/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5">
    <tabColor rgb="FFC00000"/>
  </sheetPr>
  <dimension ref="A1:V59"/>
  <sheetViews>
    <sheetView topLeftCell="C1" zoomScale="75" zoomScaleNormal="100" workbookViewId="0">
      <selection activeCell="P36" sqref="P36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428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tr">
        <f>'Summary PPh 21'!G16</f>
        <v>K/3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 t="s">
        <v>271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 t="s">
        <v>276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92">
        <v>6400000</v>
      </c>
      <c r="D13" s="92">
        <v>6400000</v>
      </c>
      <c r="E13" s="162">
        <v>6400000</v>
      </c>
      <c r="F13" s="92">
        <v>6400000</v>
      </c>
      <c r="G13" s="92">
        <v>6400000</v>
      </c>
      <c r="H13" s="92">
        <v>6400000</v>
      </c>
      <c r="I13" s="92">
        <v>6400000</v>
      </c>
      <c r="J13" s="92">
        <v>6400000</v>
      </c>
      <c r="K13" s="92">
        <v>6400000</v>
      </c>
      <c r="L13" s="92">
        <v>6400000</v>
      </c>
      <c r="M13" s="92">
        <v>6400000</v>
      </c>
      <c r="N13" s="92">
        <v>6400000</v>
      </c>
      <c r="O13" s="32">
        <f>SUM(C13:N13)</f>
        <v>76800000</v>
      </c>
      <c r="P13" s="123">
        <f t="shared" ref="P13:P18" si="1">Q13</f>
        <v>76800000</v>
      </c>
      <c r="Q13" s="123">
        <f>F13*12</f>
        <v>76800000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>
        <v>4900000</v>
      </c>
      <c r="D16" s="92">
        <v>3725000</v>
      </c>
      <c r="E16" s="92">
        <v>11585000</v>
      </c>
      <c r="F16" s="92">
        <v>11825000</v>
      </c>
      <c r="G16" s="92">
        <v>11425000</v>
      </c>
      <c r="H16" s="92"/>
      <c r="I16" s="92"/>
      <c r="J16" s="92">
        <v>5350000</v>
      </c>
      <c r="K16" s="92">
        <v>10805000</v>
      </c>
      <c r="L16" s="92">
        <v>7192000</v>
      </c>
      <c r="M16" s="92"/>
      <c r="N16" s="92">
        <v>5000000</v>
      </c>
      <c r="O16" s="32">
        <f>SUM(C16:N16)</f>
        <v>71807000</v>
      </c>
      <c r="P16" s="123">
        <f t="shared" si="1"/>
        <v>141900000</v>
      </c>
      <c r="Q16" s="123">
        <f>F16*12</f>
        <v>141900000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11300000</v>
      </c>
      <c r="D19" s="37">
        <f t="shared" si="3"/>
        <v>10125000</v>
      </c>
      <c r="E19" s="37">
        <f t="shared" si="3"/>
        <v>17985000</v>
      </c>
      <c r="F19" s="37">
        <f t="shared" si="3"/>
        <v>18225000</v>
      </c>
      <c r="G19" s="37">
        <f t="shared" si="3"/>
        <v>17825000</v>
      </c>
      <c r="H19" s="37">
        <f t="shared" si="3"/>
        <v>6400000</v>
      </c>
      <c r="I19" s="37">
        <f t="shared" si="3"/>
        <v>6400000</v>
      </c>
      <c r="J19" s="37">
        <f t="shared" si="3"/>
        <v>11750000</v>
      </c>
      <c r="K19" s="37">
        <f t="shared" si="3"/>
        <v>17205000</v>
      </c>
      <c r="L19" s="37">
        <f t="shared" si="3"/>
        <v>13592000</v>
      </c>
      <c r="M19" s="37">
        <f t="shared" si="3"/>
        <v>6400000</v>
      </c>
      <c r="N19" s="37">
        <f t="shared" si="3"/>
        <v>11400000</v>
      </c>
      <c r="O19" s="38">
        <f>SUM(O13:O18)</f>
        <v>148607000</v>
      </c>
      <c r="P19" s="103">
        <f>SUM(P13:P18)</f>
        <v>218700000</v>
      </c>
      <c r="Q19" s="103">
        <f>SUM(Q13:Q18)</f>
        <v>218700000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v>5000000</v>
      </c>
      <c r="P20" s="110">
        <v>5000000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11300000</v>
      </c>
      <c r="D21" s="259">
        <f t="shared" ref="D21:N21" si="4">D19+D20</f>
        <v>10125000</v>
      </c>
      <c r="E21" s="259">
        <f t="shared" si="4"/>
        <v>17985000</v>
      </c>
      <c r="F21" s="259">
        <f t="shared" si="4"/>
        <v>18225000</v>
      </c>
      <c r="G21" s="259">
        <f>G19+G20</f>
        <v>17825000</v>
      </c>
      <c r="H21" s="259">
        <f t="shared" si="4"/>
        <v>6400000</v>
      </c>
      <c r="I21" s="259">
        <f t="shared" si="4"/>
        <v>6400000</v>
      </c>
      <c r="J21" s="259">
        <f t="shared" si="4"/>
        <v>11750000</v>
      </c>
      <c r="K21" s="259">
        <f t="shared" si="4"/>
        <v>17205000</v>
      </c>
      <c r="L21" s="259">
        <f t="shared" si="4"/>
        <v>13592000</v>
      </c>
      <c r="M21" s="259">
        <f t="shared" si="4"/>
        <v>6400000</v>
      </c>
      <c r="N21" s="259">
        <f t="shared" si="4"/>
        <v>11400000</v>
      </c>
      <c r="O21" s="259">
        <f>O19+O20</f>
        <v>153607000</v>
      </c>
      <c r="P21" s="103">
        <f>P19+P20</f>
        <v>223700000</v>
      </c>
      <c r="Q21" s="103">
        <f>Q19+Q20</f>
        <v>218700000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500000</v>
      </c>
      <c r="D23" s="257">
        <f t="shared" ref="D23:N23" si="5">IF(D21*5%&lt;500000,D21*5%,500000)</f>
        <v>500000</v>
      </c>
      <c r="E23" s="257">
        <f t="shared" si="5"/>
        <v>500000</v>
      </c>
      <c r="F23" s="257">
        <f t="shared" si="5"/>
        <v>500000</v>
      </c>
      <c r="G23" s="257">
        <f>IF(G21*5%&lt;500000,G21*5%,500000)</f>
        <v>500000</v>
      </c>
      <c r="H23" s="257">
        <f t="shared" si="5"/>
        <v>320000</v>
      </c>
      <c r="I23" s="257">
        <f t="shared" si="5"/>
        <v>320000</v>
      </c>
      <c r="J23" s="257">
        <f t="shared" si="5"/>
        <v>500000</v>
      </c>
      <c r="K23" s="257">
        <f t="shared" si="5"/>
        <v>500000</v>
      </c>
      <c r="L23" s="257">
        <f t="shared" si="5"/>
        <v>500000</v>
      </c>
      <c r="M23" s="257">
        <f t="shared" si="5"/>
        <v>320000</v>
      </c>
      <c r="N23" s="257">
        <f t="shared" si="5"/>
        <v>500000</v>
      </c>
      <c r="O23" s="99">
        <f>IF(O21*5%&lt;6000000,O21*5%,6000000)</f>
        <v>6000000</v>
      </c>
      <c r="P23" s="110">
        <f>IF(P21*5%&lt;6000000,P21*5%,6000000)</f>
        <v>6000000</v>
      </c>
      <c r="Q23" s="110">
        <f>IF(Q21*5%&lt;6000000,Q21*5%,6000000)</f>
        <v>6000000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500000</v>
      </c>
      <c r="D26" s="257">
        <f t="shared" si="6"/>
        <v>500000</v>
      </c>
      <c r="E26" s="257">
        <f t="shared" si="6"/>
        <v>500000</v>
      </c>
      <c r="F26" s="257">
        <f t="shared" si="6"/>
        <v>500000</v>
      </c>
      <c r="G26" s="257">
        <f>SUM(G23:G25)</f>
        <v>500000</v>
      </c>
      <c r="H26" s="257">
        <f t="shared" si="6"/>
        <v>320000</v>
      </c>
      <c r="I26" s="257">
        <f t="shared" si="6"/>
        <v>320000</v>
      </c>
      <c r="J26" s="257">
        <f t="shared" si="6"/>
        <v>500000</v>
      </c>
      <c r="K26" s="257">
        <f t="shared" si="6"/>
        <v>500000</v>
      </c>
      <c r="L26" s="257">
        <f t="shared" si="6"/>
        <v>500000</v>
      </c>
      <c r="M26" s="257">
        <f t="shared" si="6"/>
        <v>320000</v>
      </c>
      <c r="N26" s="257">
        <f t="shared" si="6"/>
        <v>500000</v>
      </c>
      <c r="O26" s="263">
        <f>SUM(O22:O25)</f>
        <v>6000000</v>
      </c>
      <c r="P26" s="103">
        <f>SUM(P23:P25)</f>
        <v>6000000</v>
      </c>
      <c r="Q26" s="103">
        <f>SUM(Q23:Q25)</f>
        <v>6000000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10800000</v>
      </c>
      <c r="D28" s="255">
        <f t="shared" ref="D28:O28" si="7">D21-D26</f>
        <v>9625000</v>
      </c>
      <c r="E28" s="255">
        <f t="shared" si="7"/>
        <v>17485000</v>
      </c>
      <c r="F28" s="255">
        <f t="shared" si="7"/>
        <v>17725000</v>
      </c>
      <c r="G28" s="255">
        <f>G21-G26</f>
        <v>17325000</v>
      </c>
      <c r="H28" s="255">
        <f t="shared" si="7"/>
        <v>6080000</v>
      </c>
      <c r="I28" s="255">
        <f t="shared" si="7"/>
        <v>6080000</v>
      </c>
      <c r="J28" s="255">
        <f t="shared" si="7"/>
        <v>11250000</v>
      </c>
      <c r="K28" s="255">
        <f t="shared" si="7"/>
        <v>16705000</v>
      </c>
      <c r="L28" s="255">
        <f t="shared" si="7"/>
        <v>13092000</v>
      </c>
      <c r="M28" s="255">
        <f t="shared" si="7"/>
        <v>6080000</v>
      </c>
      <c r="N28" s="255">
        <f t="shared" si="7"/>
        <v>10900000</v>
      </c>
      <c r="O28" s="255">
        <f>O21-O26</f>
        <v>147607000</v>
      </c>
      <c r="P28" s="103">
        <f>P21-P26</f>
        <v>217700000</v>
      </c>
      <c r="Q28" s="103">
        <f>Q21-Q26</f>
        <v>212700000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129600000</v>
      </c>
      <c r="D30" s="253">
        <f>SUM(C28:D28)*D10/D11</f>
        <v>122550000</v>
      </c>
      <c r="E30" s="253">
        <f>SUM(C28:E28)*E10/E11</f>
        <v>151640000</v>
      </c>
      <c r="F30" s="253">
        <f>SUM(C28:F28)*F10/F11</f>
        <v>166905000</v>
      </c>
      <c r="G30" s="253">
        <f>SUM(C28:G28)*G10/G11</f>
        <v>175104000</v>
      </c>
      <c r="H30" s="253">
        <f>SUM(C28:H28)*H10/H11</f>
        <v>158080000</v>
      </c>
      <c r="I30" s="253">
        <f>SUM(C28:I28)*I10/I11</f>
        <v>145920000</v>
      </c>
      <c r="J30" s="253">
        <f>SUM(C28:J28)*J10/J11</f>
        <v>144555000</v>
      </c>
      <c r="K30" s="253">
        <f>SUM(C28:K28)*K10/K11</f>
        <v>150766666.66666666</v>
      </c>
      <c r="L30" s="253">
        <f>SUM(C28:L28)*L10/L11</f>
        <v>151400400</v>
      </c>
      <c r="M30" s="253">
        <f>SUM(C28:M28)*M10/M11</f>
        <v>144269454.54545453</v>
      </c>
      <c r="N30" s="253">
        <f>SUM(C28:N28)*N10/N11</f>
        <v>143147000</v>
      </c>
      <c r="O30" s="254">
        <f>O28</f>
        <v>147607000</v>
      </c>
      <c r="P30" s="108">
        <f>P28</f>
        <v>217700000</v>
      </c>
      <c r="Q30" s="108">
        <f>Q28</f>
        <v>212700000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>IF(O30&gt;0,VLOOKUP(O9,$B$47:$C$59,2,FALSE),0)</f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57600000</v>
      </c>
      <c r="D32" s="256">
        <f t="shared" ref="D32:O32" si="9">ROUNDDOWN(IF(D30&lt;=D31,0,IF(D30&gt;D31,D30-D31)),-3)</f>
        <v>50550000</v>
      </c>
      <c r="E32" s="256">
        <f t="shared" si="9"/>
        <v>79640000</v>
      </c>
      <c r="F32" s="256">
        <f t="shared" si="9"/>
        <v>94905000</v>
      </c>
      <c r="G32" s="256">
        <f t="shared" si="9"/>
        <v>103104000</v>
      </c>
      <c r="H32" s="256">
        <f t="shared" si="9"/>
        <v>86080000</v>
      </c>
      <c r="I32" s="256">
        <f>ROUNDDOWN(IF(I30&lt;=I31,0,IF(I30&gt;I31,I30-I31)),-3)</f>
        <v>73920000</v>
      </c>
      <c r="J32" s="256">
        <f t="shared" si="9"/>
        <v>72555000</v>
      </c>
      <c r="K32" s="256">
        <f t="shared" si="9"/>
        <v>78766000</v>
      </c>
      <c r="L32" s="256">
        <f t="shared" si="9"/>
        <v>79400000</v>
      </c>
      <c r="M32" s="256">
        <f t="shared" si="9"/>
        <v>72269000</v>
      </c>
      <c r="N32" s="256">
        <f t="shared" si="9"/>
        <v>71147000</v>
      </c>
      <c r="O32" s="256">
        <f>ROUNDDOWN(IF(O30&lt;=O31,0,IF(O30&gt;O31,O30-O31)),-3)</f>
        <v>75607000</v>
      </c>
      <c r="P32" s="103">
        <f t="shared" ref="D32:Q32" si="10">ROUNDDOWN(IF(P30&lt;=P31,0,IF(P30&gt;P31,P30-P31)),-3)</f>
        <v>145700000</v>
      </c>
      <c r="Q32" s="103">
        <f t="shared" si="10"/>
        <v>140700000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2880000</v>
      </c>
      <c r="D33" s="257">
        <f t="shared" si="11"/>
        <v>2527500</v>
      </c>
      <c r="E33" s="257">
        <f t="shared" si="11"/>
        <v>5946000</v>
      </c>
      <c r="F33" s="257">
        <f t="shared" si="11"/>
        <v>8235750</v>
      </c>
      <c r="G33" s="257">
        <f t="shared" si="11"/>
        <v>9465600</v>
      </c>
      <c r="H33" s="257">
        <f t="shared" si="11"/>
        <v>6912000</v>
      </c>
      <c r="I33" s="257">
        <f t="shared" si="11"/>
        <v>5088000</v>
      </c>
      <c r="J33" s="257">
        <f t="shared" si="11"/>
        <v>4883250</v>
      </c>
      <c r="K33" s="257">
        <f t="shared" si="11"/>
        <v>5814900</v>
      </c>
      <c r="L33" s="257">
        <f t="shared" si="11"/>
        <v>5910000</v>
      </c>
      <c r="M33" s="257">
        <f t="shared" si="11"/>
        <v>4840350</v>
      </c>
      <c r="N33" s="257">
        <f t="shared" si="11"/>
        <v>4672050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5341050</v>
      </c>
      <c r="P33" s="255">
        <f>IF(P32&lt;0,0,IF(P32&lt;60000000,P32*5%,IF(P32&lt;250000000,(P32-60000000)*15%+3000000,IF(P32&lt;500000000,(P32-250000000)*25%+31500000,IF(P32&lt;5000000000,(P32-500000000)*30%+94000000,IF(P32&gt;5000000000,(P32-500000000)*35%+1444000000))))))</f>
        <v>15855000</v>
      </c>
      <c r="Q33" s="255">
        <f t="shared" ref="P33:Q33" si="12">IF(Q32&lt;0,0,IF(Q32&lt;60000000,Q32*5%,IF(Q32&lt;250000000,(Q32-60000000)*15%+3000000,IF(Q32&lt;500000000,(Q32-250000000)*25%+31500000,IF(Q32&lt;5000000000,(Q32-500000000)*30%+94000000,IF(Q32&gt;5000000000,(Q32-500000000)*35%+1444000000))))))</f>
        <v>15105000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2880000</v>
      </c>
      <c r="D35" s="255">
        <f t="shared" ref="D35:M35" si="13">D33-D34</f>
        <v>2527500</v>
      </c>
      <c r="E35" s="255">
        <f t="shared" si="13"/>
        <v>5946000</v>
      </c>
      <c r="F35" s="255">
        <f t="shared" si="13"/>
        <v>8235750</v>
      </c>
      <c r="G35" s="255">
        <f t="shared" si="13"/>
        <v>9465600</v>
      </c>
      <c r="H35" s="255">
        <f t="shared" si="13"/>
        <v>6912000</v>
      </c>
      <c r="I35" s="255">
        <f t="shared" si="13"/>
        <v>5088000</v>
      </c>
      <c r="J35" s="255">
        <f t="shared" si="13"/>
        <v>4883250</v>
      </c>
      <c r="K35" s="255">
        <f t="shared" si="13"/>
        <v>5814900</v>
      </c>
      <c r="L35" s="255">
        <f t="shared" si="13"/>
        <v>5910000</v>
      </c>
      <c r="M35" s="255">
        <f t="shared" si="13"/>
        <v>4840350</v>
      </c>
      <c r="N35" s="255">
        <f>N33-N34</f>
        <v>4672050</v>
      </c>
      <c r="O35" s="255">
        <f>O33</f>
        <v>5341050</v>
      </c>
      <c r="P35" s="103">
        <f>P33+P34</f>
        <v>15855000</v>
      </c>
      <c r="Q35" s="103">
        <f>Q33+Q34</f>
        <v>15105000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</f>
        <v>240000</v>
      </c>
      <c r="D36" s="264">
        <f>(D35/D10*D11-SUM(C36))</f>
        <v>181250</v>
      </c>
      <c r="E36" s="264">
        <f>(E35/E10*E11-SUM(C36:D36))</f>
        <v>1065250</v>
      </c>
      <c r="F36" s="264">
        <f>(F35/F10*F11-SUM(C36:E36))</f>
        <v>1258750</v>
      </c>
      <c r="G36" s="264">
        <f>(G35/G10*G11-SUM(C36:F36))</f>
        <v>1198750</v>
      </c>
      <c r="H36" s="264">
        <f>(H35/H10*H11-SUM(C36:G36))</f>
        <v>-488000</v>
      </c>
      <c r="I36" s="264">
        <f>(I35/I10*I11-SUM(C36:H36))</f>
        <v>-488000</v>
      </c>
      <c r="J36" s="264">
        <f>(J35/J10*J11-SUM(C36:I36))</f>
        <v>287500</v>
      </c>
      <c r="K36" s="264">
        <f>(K35/K10*K11-SUM(C36:J36))</f>
        <v>1105675</v>
      </c>
      <c r="L36" s="264">
        <f>(L35/L10*L11-SUM(C36:K36))</f>
        <v>563825</v>
      </c>
      <c r="M36" s="264">
        <f>(M35/M10*M11-SUM(C36:L36))</f>
        <v>-488012.5</v>
      </c>
      <c r="N36" s="264">
        <f>O35-SUM(C36:M36)</f>
        <v>904062.5</v>
      </c>
      <c r="O36" s="259">
        <f>SUM(C36:N36)</f>
        <v>5341050</v>
      </c>
      <c r="P36" s="108">
        <f>P35/12</f>
        <v>1321250</v>
      </c>
      <c r="Q36" s="108">
        <f>Q35/12</f>
        <v>1258750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750000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2008750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11060000</v>
      </c>
      <c r="D41" s="50">
        <f t="shared" si="14"/>
        <v>9943750</v>
      </c>
      <c r="E41" s="50">
        <f t="shared" si="14"/>
        <v>16919750</v>
      </c>
      <c r="F41" s="50">
        <f t="shared" si="14"/>
        <v>16966250</v>
      </c>
      <c r="G41" s="50">
        <f t="shared" si="14"/>
        <v>16626250</v>
      </c>
      <c r="H41" s="50">
        <f t="shared" si="14"/>
        <v>6888000</v>
      </c>
      <c r="I41" s="50">
        <f t="shared" si="14"/>
        <v>6888000</v>
      </c>
      <c r="J41" s="50">
        <f t="shared" si="14"/>
        <v>11462500</v>
      </c>
      <c r="K41" s="50">
        <f>K21-K25-K36</f>
        <v>16099325</v>
      </c>
      <c r="L41" s="50">
        <f>L21-L25-L36</f>
        <v>13028175</v>
      </c>
      <c r="M41" s="50">
        <f>M21-M25-M36</f>
        <v>6888012.5</v>
      </c>
      <c r="N41" s="50">
        <f>N21-N25-N36</f>
        <v>10495937.5</v>
      </c>
      <c r="O41" s="50">
        <f>O21-O25-O36-O38</f>
        <v>148265950</v>
      </c>
      <c r="P41" s="126">
        <f>P21-P25-P36</f>
        <v>222378750</v>
      </c>
      <c r="Q41" s="126">
        <f>Q21-Q25-Q36</f>
        <v>217441250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2200-000000000000}"/>
  </dataValidations>
  <pageMargins left="0.7" right="0.7" top="0.75" bottom="0.75" header="0.3" footer="0.3"/>
  <pageSetup paperSize="9" orientation="portrait" horizontalDpi="360" verticalDpi="36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3"/>
  <dimension ref="A1:V59"/>
  <sheetViews>
    <sheetView topLeftCell="C1" zoomScale="67" workbookViewId="0">
      <selection activeCell="O23" sqref="O2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92">
        <v>3000000</v>
      </c>
      <c r="D13" s="92">
        <v>3000000</v>
      </c>
      <c r="E13" s="162">
        <v>3000000</v>
      </c>
      <c r="F13" s="92">
        <v>3000000</v>
      </c>
      <c r="G13" s="92">
        <v>3000000</v>
      </c>
      <c r="H13" s="92">
        <v>3000000</v>
      </c>
      <c r="I13" s="92">
        <v>3200000</v>
      </c>
      <c r="J13" s="92">
        <v>3000000</v>
      </c>
      <c r="K13" s="92">
        <v>3550000</v>
      </c>
      <c r="L13" s="92">
        <v>3550000</v>
      </c>
      <c r="M13" s="92">
        <v>3700000</v>
      </c>
      <c r="N13" s="92">
        <v>3550000</v>
      </c>
      <c r="O13" s="32">
        <f>SUM(C13:N13)</f>
        <v>38550000</v>
      </c>
      <c r="P13" s="123">
        <f t="shared" ref="P13:P18" si="1">Q13</f>
        <v>36000000</v>
      </c>
      <c r="Q13" s="123">
        <f>F13*12</f>
        <v>36000000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>
        <v>1900000</v>
      </c>
      <c r="D16" s="92"/>
      <c r="E16" s="92"/>
      <c r="F16" s="92"/>
      <c r="G16" s="92"/>
      <c r="H16" s="92"/>
      <c r="I16" s="92"/>
      <c r="J16" s="92">
        <v>125000</v>
      </c>
      <c r="K16" s="92"/>
      <c r="L16" s="92"/>
      <c r="M16" s="92"/>
      <c r="N16" s="92"/>
      <c r="O16" s="32">
        <f>SUM(C16:N16)</f>
        <v>2025000</v>
      </c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4900000</v>
      </c>
      <c r="D19" s="37">
        <f t="shared" si="3"/>
        <v>3000000</v>
      </c>
      <c r="E19" s="37">
        <f t="shared" si="3"/>
        <v>3000000</v>
      </c>
      <c r="F19" s="37">
        <f t="shared" si="3"/>
        <v>3000000</v>
      </c>
      <c r="G19" s="37">
        <f t="shared" si="3"/>
        <v>3000000</v>
      </c>
      <c r="H19" s="37">
        <f t="shared" si="3"/>
        <v>3000000</v>
      </c>
      <c r="I19" s="37">
        <f t="shared" si="3"/>
        <v>3200000</v>
      </c>
      <c r="J19" s="37">
        <f t="shared" si="3"/>
        <v>3125000</v>
      </c>
      <c r="K19" s="37">
        <f t="shared" si="3"/>
        <v>3550000</v>
      </c>
      <c r="L19" s="37">
        <f t="shared" si="3"/>
        <v>3550000</v>
      </c>
      <c r="M19" s="37">
        <f t="shared" si="3"/>
        <v>3700000</v>
      </c>
      <c r="N19" s="37">
        <f t="shared" si="3"/>
        <v>3550000</v>
      </c>
      <c r="O19" s="38">
        <f>SUM(O13:O18)</f>
        <v>40575000</v>
      </c>
      <c r="P19" s="103">
        <f>SUM(P13:P18)</f>
        <v>36000000</v>
      </c>
      <c r="Q19" s="103">
        <f>SUM(Q13:Q18)</f>
        <v>36000000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3000000</v>
      </c>
      <c r="P20" s="110">
        <v>3000000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4900000</v>
      </c>
      <c r="D21" s="259">
        <f t="shared" ref="D21:N21" si="4">D19+D20</f>
        <v>3000000</v>
      </c>
      <c r="E21" s="259">
        <f t="shared" si="4"/>
        <v>3000000</v>
      </c>
      <c r="F21" s="259">
        <f t="shared" si="4"/>
        <v>3000000</v>
      </c>
      <c r="G21" s="259">
        <f>G19+G20</f>
        <v>3000000</v>
      </c>
      <c r="H21" s="259">
        <f t="shared" si="4"/>
        <v>3000000</v>
      </c>
      <c r="I21" s="259">
        <f t="shared" si="4"/>
        <v>3200000</v>
      </c>
      <c r="J21" s="259">
        <f t="shared" si="4"/>
        <v>3125000</v>
      </c>
      <c r="K21" s="259">
        <f t="shared" si="4"/>
        <v>3550000</v>
      </c>
      <c r="L21" s="259">
        <f t="shared" si="4"/>
        <v>3550000</v>
      </c>
      <c r="M21" s="259">
        <f t="shared" si="4"/>
        <v>3700000</v>
      </c>
      <c r="N21" s="259">
        <f t="shared" si="4"/>
        <v>3550000</v>
      </c>
      <c r="O21" s="259">
        <f>O19+O20</f>
        <v>43575000</v>
      </c>
      <c r="P21" s="103">
        <f>P19+P20</f>
        <v>39000000</v>
      </c>
      <c r="Q21" s="103">
        <f>Q19+Q20</f>
        <v>36000000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245000</v>
      </c>
      <c r="D23" s="257">
        <f t="shared" ref="D23:N23" si="5">IF(D21*5%&lt;500000,D21*5%,500000)</f>
        <v>150000</v>
      </c>
      <c r="E23" s="257">
        <f t="shared" si="5"/>
        <v>150000</v>
      </c>
      <c r="F23" s="257">
        <f t="shared" si="5"/>
        <v>150000</v>
      </c>
      <c r="G23" s="257">
        <f>IF(G21*5%&lt;500000,G21*5%,500000)</f>
        <v>150000</v>
      </c>
      <c r="H23" s="257">
        <f t="shared" si="5"/>
        <v>150000</v>
      </c>
      <c r="I23" s="257">
        <f t="shared" si="5"/>
        <v>160000</v>
      </c>
      <c r="J23" s="257">
        <f t="shared" si="5"/>
        <v>156250</v>
      </c>
      <c r="K23" s="257">
        <f t="shared" si="5"/>
        <v>177500</v>
      </c>
      <c r="L23" s="257">
        <f t="shared" si="5"/>
        <v>177500</v>
      </c>
      <c r="M23" s="257">
        <f t="shared" si="5"/>
        <v>185000</v>
      </c>
      <c r="N23" s="257">
        <f t="shared" si="5"/>
        <v>177500</v>
      </c>
      <c r="O23" s="99">
        <f>IF(O21*5%&lt;6000000,O21*5%,6000000)</f>
        <v>2178750</v>
      </c>
      <c r="P23" s="110">
        <f>IF(P21*5%&lt;6000000,P21*5%,6000000)</f>
        <v>1950000</v>
      </c>
      <c r="Q23" s="110">
        <f>IF(Q21*5%&lt;6000000,Q21*5%,6000000)</f>
        <v>1800000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245000</v>
      </c>
      <c r="D26" s="257">
        <f t="shared" si="6"/>
        <v>150000</v>
      </c>
      <c r="E26" s="257">
        <f t="shared" si="6"/>
        <v>150000</v>
      </c>
      <c r="F26" s="257">
        <f t="shared" si="6"/>
        <v>150000</v>
      </c>
      <c r="G26" s="257">
        <f>SUM(G23:G25)</f>
        <v>150000</v>
      </c>
      <c r="H26" s="257">
        <f t="shared" si="6"/>
        <v>150000</v>
      </c>
      <c r="I26" s="257">
        <f t="shared" si="6"/>
        <v>160000</v>
      </c>
      <c r="J26" s="257">
        <f t="shared" si="6"/>
        <v>156250</v>
      </c>
      <c r="K26" s="257">
        <f t="shared" si="6"/>
        <v>177500</v>
      </c>
      <c r="L26" s="257">
        <f t="shared" si="6"/>
        <v>177500</v>
      </c>
      <c r="M26" s="257">
        <f t="shared" si="6"/>
        <v>185000</v>
      </c>
      <c r="N26" s="257">
        <f t="shared" si="6"/>
        <v>177500</v>
      </c>
      <c r="O26" s="263">
        <f>SUM(O22:O25)</f>
        <v>2178750</v>
      </c>
      <c r="P26" s="103">
        <f>SUM(P23:P25)</f>
        <v>1950000</v>
      </c>
      <c r="Q26" s="103">
        <f>SUM(Q23:Q25)</f>
        <v>1800000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4655000</v>
      </c>
      <c r="D28" s="255">
        <f t="shared" ref="D28:O28" si="7">D21-D26</f>
        <v>2850000</v>
      </c>
      <c r="E28" s="255">
        <f t="shared" si="7"/>
        <v>2850000</v>
      </c>
      <c r="F28" s="255">
        <f t="shared" si="7"/>
        <v>2850000</v>
      </c>
      <c r="G28" s="255">
        <f>G21-G26</f>
        <v>2850000</v>
      </c>
      <c r="H28" s="255">
        <f t="shared" si="7"/>
        <v>2850000</v>
      </c>
      <c r="I28" s="255">
        <f t="shared" si="7"/>
        <v>3040000</v>
      </c>
      <c r="J28" s="255">
        <f t="shared" si="7"/>
        <v>2968750</v>
      </c>
      <c r="K28" s="255">
        <f t="shared" si="7"/>
        <v>3372500</v>
      </c>
      <c r="L28" s="255">
        <f t="shared" si="7"/>
        <v>3372500</v>
      </c>
      <c r="M28" s="255">
        <f t="shared" si="7"/>
        <v>3515000</v>
      </c>
      <c r="N28" s="255">
        <f t="shared" si="7"/>
        <v>3372500</v>
      </c>
      <c r="O28" s="255">
        <f t="shared" si="7"/>
        <v>41396250</v>
      </c>
      <c r="P28" s="103">
        <f>P21-P26</f>
        <v>37050000</v>
      </c>
      <c r="Q28" s="103">
        <f>Q21-Q26</f>
        <v>34200000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55860000</v>
      </c>
      <c r="D30" s="253">
        <f>SUM(C28:D28)*D10/D11</f>
        <v>45030000</v>
      </c>
      <c r="E30" s="253">
        <f>SUM(C28:E28)*E10/E11</f>
        <v>41420000</v>
      </c>
      <c r="F30" s="253">
        <f>SUM(C28:F28)*F10/F11</f>
        <v>39615000</v>
      </c>
      <c r="G30" s="253">
        <f>SUM(C28:G28)*G10/G11</f>
        <v>38532000</v>
      </c>
      <c r="H30" s="253">
        <f>SUM(C28:H28)*H10/H11</f>
        <v>37810000</v>
      </c>
      <c r="I30" s="253">
        <f>SUM(C28:I28)*I10/I11</f>
        <v>37620000</v>
      </c>
      <c r="J30" s="253">
        <f>SUM(C28:J28)*J10/J11</f>
        <v>37370625</v>
      </c>
      <c r="K30" s="253">
        <f>SUM(C28:K28)*K10/K11</f>
        <v>37715000</v>
      </c>
      <c r="L30" s="253">
        <f>SUM(C28:L28)*L10/L11</f>
        <v>37990500</v>
      </c>
      <c r="M30" s="253">
        <f>SUM(C28:M28)*M10/M11</f>
        <v>38371363.636363633</v>
      </c>
      <c r="N30" s="253">
        <f>SUM(C28:N28)*N10/N11</f>
        <v>38546250</v>
      </c>
      <c r="O30" s="254">
        <f>O28</f>
        <v>41396250</v>
      </c>
      <c r="P30" s="108">
        <f>P28</f>
        <v>37050000</v>
      </c>
      <c r="Q30" s="108">
        <f>Q28</f>
        <v>34200000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54000000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1860000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93000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93000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9300</v>
      </c>
      <c r="D36" s="264">
        <f>(D35/D10*D11*120%)-SUM(C36)</f>
        <v>-9300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4890700</v>
      </c>
      <c r="D41" s="50">
        <f t="shared" si="14"/>
        <v>3009300</v>
      </c>
      <c r="E41" s="50">
        <f t="shared" si="14"/>
        <v>3000000</v>
      </c>
      <c r="F41" s="50">
        <f t="shared" si="14"/>
        <v>3000000</v>
      </c>
      <c r="G41" s="50">
        <f t="shared" si="14"/>
        <v>3000000</v>
      </c>
      <c r="H41" s="50">
        <f t="shared" si="14"/>
        <v>3000000</v>
      </c>
      <c r="I41" s="50">
        <f t="shared" si="14"/>
        <v>3200000</v>
      </c>
      <c r="J41" s="50">
        <f t="shared" si="14"/>
        <v>3125000</v>
      </c>
      <c r="K41" s="50">
        <f>K21-K25-K36</f>
        <v>3550000</v>
      </c>
      <c r="L41" s="50">
        <f>L21-L25-L36</f>
        <v>3550000</v>
      </c>
      <c r="M41" s="50">
        <f>M21-M25-M36</f>
        <v>3700000</v>
      </c>
      <c r="N41" s="50">
        <f>N21-N25-N36</f>
        <v>3550000</v>
      </c>
      <c r="O41" s="50">
        <f>O21-O25-O36-O38</f>
        <v>43575000</v>
      </c>
      <c r="P41" s="126">
        <f>P21-P25-P36</f>
        <v>39000000</v>
      </c>
      <c r="Q41" s="126">
        <f>Q21-Q25-Q36</f>
        <v>36000000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D14:N18 P13:Q18 C13:N13" xr:uid="{00000000-0002-0000-2300-000000000000}"/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6"/>
  <dimension ref="A1:V59"/>
  <sheetViews>
    <sheetView topLeftCell="C1" zoomScale="73" workbookViewId="0">
      <selection activeCell="L13" sqref="L1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431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4000000</v>
      </c>
      <c r="D13" s="92">
        <v>4000000</v>
      </c>
      <c r="E13" s="162">
        <v>4000000</v>
      </c>
      <c r="F13" s="92">
        <v>4000000</v>
      </c>
      <c r="G13" s="92">
        <v>4000000</v>
      </c>
      <c r="H13" s="92">
        <v>4000000</v>
      </c>
      <c r="I13" s="92">
        <v>4000000</v>
      </c>
      <c r="J13" s="92">
        <v>4000000</v>
      </c>
      <c r="K13" s="92"/>
      <c r="L13" s="92">
        <v>4525000</v>
      </c>
      <c r="M13" s="92"/>
      <c r="N13" s="92"/>
      <c r="O13" s="32">
        <f>SUM(C13:N13)</f>
        <v>36525000</v>
      </c>
      <c r="P13" s="123">
        <f t="shared" ref="P13:P18" si="1">Q13</f>
        <v>48000000</v>
      </c>
      <c r="Q13" s="123">
        <f>F13*12</f>
        <v>48000000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>
        <v>2500000</v>
      </c>
      <c r="E16" s="92">
        <v>9560000</v>
      </c>
      <c r="F16" s="92">
        <v>5625000</v>
      </c>
      <c r="G16" s="92">
        <v>10200000</v>
      </c>
      <c r="H16" s="92">
        <v>1900000</v>
      </c>
      <c r="I16" s="92"/>
      <c r="J16" s="92">
        <v>4200000</v>
      </c>
      <c r="K16" s="92">
        <v>4740000</v>
      </c>
      <c r="L16" s="92">
        <v>3571000</v>
      </c>
      <c r="M16" s="92"/>
      <c r="N16" s="92">
        <v>500000</v>
      </c>
      <c r="O16" s="32">
        <f>SUM(C16:N16)</f>
        <v>42796000</v>
      </c>
      <c r="P16" s="123">
        <f t="shared" si="1"/>
        <v>67500000</v>
      </c>
      <c r="Q16" s="123">
        <f>F16*12</f>
        <v>67500000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4000000</v>
      </c>
      <c r="D19" s="37">
        <f t="shared" si="3"/>
        <v>6500000</v>
      </c>
      <c r="E19" s="37">
        <f t="shared" si="3"/>
        <v>13560000</v>
      </c>
      <c r="F19" s="37">
        <f t="shared" si="3"/>
        <v>9625000</v>
      </c>
      <c r="G19" s="37">
        <f t="shared" si="3"/>
        <v>14200000</v>
      </c>
      <c r="H19" s="37">
        <f t="shared" si="3"/>
        <v>5900000</v>
      </c>
      <c r="I19" s="37">
        <f t="shared" si="3"/>
        <v>4000000</v>
      </c>
      <c r="J19" s="37">
        <f t="shared" si="3"/>
        <v>8200000</v>
      </c>
      <c r="K19" s="37">
        <f t="shared" si="3"/>
        <v>4740000</v>
      </c>
      <c r="L19" s="37">
        <f t="shared" si="3"/>
        <v>8096000</v>
      </c>
      <c r="M19" s="37"/>
      <c r="N19" s="37">
        <f t="shared" si="3"/>
        <v>500000</v>
      </c>
      <c r="O19" s="38">
        <f>SUM(O13:O18)</f>
        <v>79321000</v>
      </c>
      <c r="P19" s="103">
        <f>SUM(P13:P18)</f>
        <v>115500000</v>
      </c>
      <c r="Q19" s="103">
        <f>SUM(Q13:Q18)</f>
        <v>115500000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4000000</v>
      </c>
      <c r="P20" s="110">
        <v>4000000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4000000</v>
      </c>
      <c r="D21" s="259">
        <f t="shared" ref="D21:N21" si="4">D19+D20</f>
        <v>6500000</v>
      </c>
      <c r="E21" s="259">
        <f t="shared" si="4"/>
        <v>13560000</v>
      </c>
      <c r="F21" s="259">
        <f t="shared" si="4"/>
        <v>9625000</v>
      </c>
      <c r="G21" s="259">
        <f>G19+G20</f>
        <v>14200000</v>
      </c>
      <c r="H21" s="259">
        <f t="shared" si="4"/>
        <v>5900000</v>
      </c>
      <c r="I21" s="259">
        <f t="shared" si="4"/>
        <v>4000000</v>
      </c>
      <c r="J21" s="259">
        <f t="shared" si="4"/>
        <v>8200000</v>
      </c>
      <c r="K21" s="259">
        <f t="shared" si="4"/>
        <v>4740000</v>
      </c>
      <c r="L21" s="259">
        <f t="shared" si="4"/>
        <v>8096000</v>
      </c>
      <c r="M21" s="259">
        <f t="shared" si="4"/>
        <v>0</v>
      </c>
      <c r="N21" s="259">
        <f t="shared" si="4"/>
        <v>500000</v>
      </c>
      <c r="O21" s="259">
        <f>O19+O20</f>
        <v>83321000</v>
      </c>
      <c r="P21" s="103">
        <f>P19+P20</f>
        <v>119500000</v>
      </c>
      <c r="Q21" s="103">
        <f>Q19+Q20</f>
        <v>115500000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200000</v>
      </c>
      <c r="D23" s="257">
        <f t="shared" ref="D23:N23" si="5">IF(D21*5%&lt;500000,D21*5%,500000)</f>
        <v>325000</v>
      </c>
      <c r="E23" s="257">
        <f t="shared" si="5"/>
        <v>500000</v>
      </c>
      <c r="F23" s="257">
        <f t="shared" si="5"/>
        <v>481250</v>
      </c>
      <c r="G23" s="257">
        <f>IF(G21*5%&lt;500000,G21*5%,500000)</f>
        <v>500000</v>
      </c>
      <c r="H23" s="257">
        <f t="shared" si="5"/>
        <v>295000</v>
      </c>
      <c r="I23" s="257">
        <f t="shared" si="5"/>
        <v>200000</v>
      </c>
      <c r="J23" s="257">
        <f t="shared" si="5"/>
        <v>410000</v>
      </c>
      <c r="K23" s="257">
        <f t="shared" si="5"/>
        <v>237000</v>
      </c>
      <c r="L23" s="257">
        <f t="shared" si="5"/>
        <v>404800</v>
      </c>
      <c r="M23" s="257">
        <f t="shared" si="5"/>
        <v>0</v>
      </c>
      <c r="N23" s="257">
        <f t="shared" si="5"/>
        <v>25000</v>
      </c>
      <c r="O23" s="99">
        <f>IF(O21*5%&lt;6000000,O21*5%,6000000)</f>
        <v>4166050</v>
      </c>
      <c r="P23" s="110">
        <f>IF(P21*5%&lt;6000000,P21*5%,6000000)</f>
        <v>5975000</v>
      </c>
      <c r="Q23" s="110">
        <f>IF(Q21*5%&lt;6000000,Q21*5%,6000000)</f>
        <v>5775000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200000</v>
      </c>
      <c r="D26" s="257">
        <f t="shared" si="6"/>
        <v>325000</v>
      </c>
      <c r="E26" s="257">
        <f t="shared" si="6"/>
        <v>500000</v>
      </c>
      <c r="F26" s="257">
        <f t="shared" si="6"/>
        <v>481250</v>
      </c>
      <c r="G26" s="257">
        <f>SUM(G23:G25)</f>
        <v>500000</v>
      </c>
      <c r="H26" s="257">
        <f t="shared" si="6"/>
        <v>295000</v>
      </c>
      <c r="I26" s="257">
        <f t="shared" si="6"/>
        <v>200000</v>
      </c>
      <c r="J26" s="257">
        <f t="shared" si="6"/>
        <v>410000</v>
      </c>
      <c r="K26" s="257">
        <f t="shared" si="6"/>
        <v>237000</v>
      </c>
      <c r="L26" s="257">
        <f t="shared" si="6"/>
        <v>404800</v>
      </c>
      <c r="M26" s="257">
        <f t="shared" si="6"/>
        <v>0</v>
      </c>
      <c r="N26" s="257">
        <f t="shared" si="6"/>
        <v>25000</v>
      </c>
      <c r="O26" s="263">
        <f>SUM(O22:O25)</f>
        <v>4166050</v>
      </c>
      <c r="P26" s="103">
        <f>SUM(P23:P25)</f>
        <v>5975000</v>
      </c>
      <c r="Q26" s="103">
        <f>SUM(Q23:Q25)</f>
        <v>5775000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3800000</v>
      </c>
      <c r="D28" s="255">
        <f t="shared" ref="D28:O28" si="7">D21-D26</f>
        <v>6175000</v>
      </c>
      <c r="E28" s="255">
        <f t="shared" si="7"/>
        <v>13060000</v>
      </c>
      <c r="F28" s="255">
        <f t="shared" si="7"/>
        <v>9143750</v>
      </c>
      <c r="G28" s="255">
        <f>G21-G26</f>
        <v>13700000</v>
      </c>
      <c r="H28" s="255">
        <f t="shared" si="7"/>
        <v>5605000</v>
      </c>
      <c r="I28" s="255">
        <f t="shared" si="7"/>
        <v>3800000</v>
      </c>
      <c r="J28" s="255">
        <f t="shared" si="7"/>
        <v>7790000</v>
      </c>
      <c r="K28" s="255">
        <f t="shared" si="7"/>
        <v>4503000</v>
      </c>
      <c r="L28" s="255">
        <f t="shared" si="7"/>
        <v>7691200</v>
      </c>
      <c r="M28" s="255">
        <f t="shared" si="7"/>
        <v>0</v>
      </c>
      <c r="N28" s="255">
        <f t="shared" si="7"/>
        <v>475000</v>
      </c>
      <c r="O28" s="255">
        <f t="shared" si="7"/>
        <v>79154950</v>
      </c>
      <c r="P28" s="103">
        <f>P21-P26</f>
        <v>113525000</v>
      </c>
      <c r="Q28" s="103">
        <f>Q21-Q26</f>
        <v>109725000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45600000</v>
      </c>
      <c r="D30" s="253">
        <f>SUM(C28:D28)*D10/D11</f>
        <v>59850000</v>
      </c>
      <c r="E30" s="253">
        <f>SUM(C28:E28)*E10/E11</f>
        <v>92140000</v>
      </c>
      <c r="F30" s="253">
        <f>SUM(C28:F28)*F10/F11</f>
        <v>96536250</v>
      </c>
      <c r="G30" s="253">
        <f>SUM(C28:G28)*G10/G11</f>
        <v>110109000</v>
      </c>
      <c r="H30" s="253">
        <f>SUM(C28:H28)*H10/H11</f>
        <v>102967500</v>
      </c>
      <c r="I30" s="253">
        <f>SUM(C28:I28)*I10/I11</f>
        <v>94772142.857142851</v>
      </c>
      <c r="J30" s="253">
        <f>SUM(C28:J28)*J10/J11</f>
        <v>94610625</v>
      </c>
      <c r="K30" s="253">
        <f>SUM(C28:K28)*K10/K11</f>
        <v>90102333.333333328</v>
      </c>
      <c r="L30" s="253">
        <f>SUM(C28:L28)*L10/L11</f>
        <v>90321540</v>
      </c>
      <c r="M30" s="253">
        <f>SUM(C28:M28)*M10/M11</f>
        <v>82110490.909090906</v>
      </c>
      <c r="N30" s="253">
        <f>SUM(C28:N28)*N10/N11</f>
        <v>75742950</v>
      </c>
      <c r="O30" s="254">
        <f>O28</f>
        <v>79154950</v>
      </c>
      <c r="P30" s="108">
        <f>P28</f>
        <v>113525000</v>
      </c>
      <c r="Q30" s="108">
        <f>Q28</f>
        <v>109725000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20140000</v>
      </c>
      <c r="F32" s="256">
        <f t="shared" si="9"/>
        <v>24536000</v>
      </c>
      <c r="G32" s="256">
        <f t="shared" si="9"/>
        <v>38109000</v>
      </c>
      <c r="H32" s="256">
        <f t="shared" si="9"/>
        <v>30967000</v>
      </c>
      <c r="I32" s="256">
        <f>ROUNDDOWN(IF(I30&lt;=I31,0,IF(I30&gt;I31,I30-I31)),-3)</f>
        <v>22772000</v>
      </c>
      <c r="J32" s="256">
        <f t="shared" si="9"/>
        <v>22610000</v>
      </c>
      <c r="K32" s="256">
        <f t="shared" si="9"/>
        <v>18102000</v>
      </c>
      <c r="L32" s="256">
        <f t="shared" si="9"/>
        <v>18321000</v>
      </c>
      <c r="M32" s="256">
        <f t="shared" si="9"/>
        <v>10110000</v>
      </c>
      <c r="N32" s="256">
        <f t="shared" si="9"/>
        <v>3742000</v>
      </c>
      <c r="O32" s="256">
        <f t="shared" si="9"/>
        <v>7154000</v>
      </c>
      <c r="P32" s="103">
        <f t="shared" ref="D32:Q32" si="10">ROUNDDOWN(IF(P30&lt;=P31,0,IF(P30&gt;P31,P30-P31)),-3)</f>
        <v>41525000</v>
      </c>
      <c r="Q32" s="103">
        <f t="shared" si="10"/>
        <v>37725000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1007000</v>
      </c>
      <c r="F33" s="257">
        <f t="shared" si="11"/>
        <v>1226800</v>
      </c>
      <c r="G33" s="257">
        <f t="shared" si="11"/>
        <v>1905450</v>
      </c>
      <c r="H33" s="257">
        <f t="shared" si="11"/>
        <v>1548350</v>
      </c>
      <c r="I33" s="257">
        <f t="shared" si="11"/>
        <v>1138600</v>
      </c>
      <c r="J33" s="257">
        <f t="shared" si="11"/>
        <v>1130500</v>
      </c>
      <c r="K33" s="257">
        <f t="shared" si="11"/>
        <v>905100</v>
      </c>
      <c r="L33" s="257">
        <f t="shared" si="11"/>
        <v>916050</v>
      </c>
      <c r="M33" s="257">
        <f t="shared" si="11"/>
        <v>505500</v>
      </c>
      <c r="N33" s="257">
        <f t="shared" si="11"/>
        <v>187100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357700</v>
      </c>
      <c r="P33" s="255">
        <f>IF(P32&lt;0,0,IF(P32&lt;60000000,P32*5%,IF(P32&lt;250000000,(P32-60000000)*15%+3000000,IF(P32&lt;500000000,(P32-250000000)*25%+31500000,IF(P32&lt;5000000000,(P32-500000000)*30%+94000000,IF(P32&gt;5000000000,(P32-500000000)*35%+1444000000))))))*120%</f>
        <v>2491500</v>
      </c>
      <c r="Q33" s="255">
        <f>IF(Q32&lt;0,0,IF(Q32&lt;60000000,Q32*5%,IF(Q32&lt;250000000,(Q32-60000000)*15%+3000000,IF(Q32&lt;500000000,(Q32-250000000)*25%+31500000,IF(Q32&lt;5000000000,(Q32-500000000)*30%+94000000,IF(Q32&gt;5000000000,(Q32-500000000)*35%+1444000000))))))*120%</f>
        <v>2263500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2">D33-D34</f>
        <v>0</v>
      </c>
      <c r="E35" s="255">
        <f t="shared" si="12"/>
        <v>1007000</v>
      </c>
      <c r="F35" s="255">
        <f t="shared" si="12"/>
        <v>1226800</v>
      </c>
      <c r="G35" s="255">
        <f t="shared" si="12"/>
        <v>1905450</v>
      </c>
      <c r="H35" s="255">
        <f t="shared" si="12"/>
        <v>1548350</v>
      </c>
      <c r="I35" s="255">
        <f t="shared" si="12"/>
        <v>1138600</v>
      </c>
      <c r="J35" s="255">
        <f t="shared" si="12"/>
        <v>1130500</v>
      </c>
      <c r="K35" s="255">
        <f t="shared" si="12"/>
        <v>905100</v>
      </c>
      <c r="L35" s="255">
        <f t="shared" si="12"/>
        <v>916050</v>
      </c>
      <c r="M35" s="255">
        <f t="shared" si="12"/>
        <v>505500</v>
      </c>
      <c r="N35" s="255">
        <f>N33-N34</f>
        <v>187100</v>
      </c>
      <c r="O35" s="255">
        <f>O33</f>
        <v>357700</v>
      </c>
      <c r="P35" s="103">
        <f>P33+P34</f>
        <v>2491500</v>
      </c>
      <c r="Q35" s="103">
        <f>Q33+Q34</f>
        <v>2263500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302100</v>
      </c>
      <c r="F36" s="264">
        <f>(F35/F10*F11*120%)-SUM(C36:E36)</f>
        <v>188619.99999999994</v>
      </c>
      <c r="G36" s="264">
        <f>(G35/G10*G11*120%)-SUM(C36:F36)</f>
        <v>462005.00000000006</v>
      </c>
      <c r="H36" s="264">
        <f>(H35/H10*H11*120%)-SUM(C36:G36)</f>
        <v>-23715</v>
      </c>
      <c r="I36" s="264">
        <f>(I35/I10*I11*120%)-SUM(C36:H36)</f>
        <v>-131990.00000000012</v>
      </c>
      <c r="J36" s="264">
        <f>(J35/J10*J11*120%)-SUM(C36:I36)</f>
        <v>107380</v>
      </c>
      <c r="K36" s="264">
        <f>(K35/K10*K11*120%)-SUM(C36:J36)</f>
        <v>-89809.999999999884</v>
      </c>
      <c r="L36" s="264">
        <f>(L35/L10*L11*120%)-SUM(C36:K36)</f>
        <v>101460</v>
      </c>
      <c r="M36" s="264">
        <f>(M35/M10*M11*120%)-SUM(C36:L36)</f>
        <v>-360000</v>
      </c>
      <c r="N36" s="264">
        <f>O35-SUM(C36:M36)</f>
        <v>-198350</v>
      </c>
      <c r="O36" s="259">
        <f>SUM(C36:N36)</f>
        <v>357700</v>
      </c>
      <c r="P36" s="108">
        <f>P35/12</f>
        <v>207625</v>
      </c>
      <c r="Q36" s="108">
        <f>Q35/12</f>
        <v>188625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228000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416625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3">C21-C25-C36</f>
        <v>4000000</v>
      </c>
      <c r="D41" s="50">
        <f t="shared" si="13"/>
        <v>6500000</v>
      </c>
      <c r="E41" s="50">
        <f t="shared" si="13"/>
        <v>13257900</v>
      </c>
      <c r="F41" s="50">
        <f t="shared" si="13"/>
        <v>9436380</v>
      </c>
      <c r="G41" s="50">
        <f t="shared" si="13"/>
        <v>13737995</v>
      </c>
      <c r="H41" s="50">
        <f t="shared" si="13"/>
        <v>5923715</v>
      </c>
      <c r="I41" s="50">
        <f t="shared" si="13"/>
        <v>4131990</v>
      </c>
      <c r="J41" s="50">
        <f t="shared" si="13"/>
        <v>8092620</v>
      </c>
      <c r="K41" s="50">
        <f>K21-K25-K36</f>
        <v>4829810</v>
      </c>
      <c r="L41" s="50">
        <f>L21-L25-L36</f>
        <v>7994540</v>
      </c>
      <c r="M41" s="50">
        <f>M21-M25-M36</f>
        <v>360000</v>
      </c>
      <c r="N41" s="50">
        <f>N21-N25-N36</f>
        <v>698350</v>
      </c>
      <c r="O41" s="50">
        <f>O21-O25-O36-O38</f>
        <v>82963300</v>
      </c>
      <c r="P41" s="126">
        <f>P21-P25-P36</f>
        <v>119292375</v>
      </c>
      <c r="Q41" s="126">
        <f>Q21-Q25-Q36</f>
        <v>115311375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2400-000000000000}"/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60"/>
  <dimension ref="A1:V55"/>
  <sheetViews>
    <sheetView topLeftCell="E1" zoomScale="62" workbookViewId="0">
      <selection activeCell="O23" sqref="O2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ht="15.75" thickBot="1" x14ac:dyDescent="0.3">
      <c r="A1" s="6" t="s">
        <v>52</v>
      </c>
      <c r="B1" s="142" t="s">
        <v>607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681818.18181818177</v>
      </c>
      <c r="D13" s="92">
        <v>1500000</v>
      </c>
      <c r="E13" s="162">
        <v>1500000</v>
      </c>
      <c r="F13" s="92">
        <v>1500000</v>
      </c>
      <c r="G13" s="92">
        <v>1500000</v>
      </c>
      <c r="H13" s="92">
        <v>1500000</v>
      </c>
      <c r="I13" s="92">
        <v>1500000</v>
      </c>
      <c r="J13" s="92">
        <v>1500000</v>
      </c>
      <c r="K13" s="92">
        <v>1500000</v>
      </c>
      <c r="L13" s="92">
        <v>1500000</v>
      </c>
      <c r="M13" s="92">
        <v>1500000</v>
      </c>
      <c r="N13" s="92">
        <v>1500000</v>
      </c>
      <c r="O13" s="32">
        <f>SUM(C13:N13)</f>
        <v>17181818.18181818</v>
      </c>
      <c r="P13" s="123">
        <f t="shared" ref="P13:P18" si="1">Q13</f>
        <v>18000000</v>
      </c>
      <c r="Q13" s="123">
        <f>F13*12</f>
        <v>18000000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681818.18181818177</v>
      </c>
      <c r="D19" s="37">
        <f t="shared" si="3"/>
        <v>1500000</v>
      </c>
      <c r="E19" s="37">
        <f t="shared" si="3"/>
        <v>1500000</v>
      </c>
      <c r="F19" s="37">
        <f t="shared" si="3"/>
        <v>1500000</v>
      </c>
      <c r="G19" s="37">
        <f t="shared" si="3"/>
        <v>1500000</v>
      </c>
      <c r="H19" s="37">
        <f t="shared" si="3"/>
        <v>1500000</v>
      </c>
      <c r="I19" s="37">
        <f t="shared" si="3"/>
        <v>1500000</v>
      </c>
      <c r="J19" s="37">
        <f t="shared" si="3"/>
        <v>1500000</v>
      </c>
      <c r="K19" s="37">
        <f t="shared" si="3"/>
        <v>1500000</v>
      </c>
      <c r="L19" s="37">
        <f t="shared" si="3"/>
        <v>1500000</v>
      </c>
      <c r="M19" s="37">
        <f t="shared" si="3"/>
        <v>1500000</v>
      </c>
      <c r="N19" s="37">
        <f t="shared" si="3"/>
        <v>1500000</v>
      </c>
      <c r="O19" s="38">
        <f>SUM(O13:O18)</f>
        <v>17181818.18181818</v>
      </c>
      <c r="P19" s="103">
        <f>SUM(P13:P18)</f>
        <v>18000000</v>
      </c>
      <c r="Q19" s="103">
        <f>SUM(Q13:Q18)</f>
        <v>18000000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1000000</v>
      </c>
      <c r="P20" s="110">
        <v>1000000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681818.18181818177</v>
      </c>
      <c r="D21" s="259">
        <f t="shared" ref="D21:N21" si="4">D19+D20</f>
        <v>1500000</v>
      </c>
      <c r="E21" s="259">
        <f t="shared" si="4"/>
        <v>1500000</v>
      </c>
      <c r="F21" s="259">
        <f t="shared" si="4"/>
        <v>1500000</v>
      </c>
      <c r="G21" s="259">
        <f>G19+G20</f>
        <v>1500000</v>
      </c>
      <c r="H21" s="259">
        <f t="shared" si="4"/>
        <v>1500000</v>
      </c>
      <c r="I21" s="259">
        <f t="shared" si="4"/>
        <v>1500000</v>
      </c>
      <c r="J21" s="259">
        <f t="shared" si="4"/>
        <v>1500000</v>
      </c>
      <c r="K21" s="259">
        <f t="shared" si="4"/>
        <v>1500000</v>
      </c>
      <c r="L21" s="259">
        <f t="shared" si="4"/>
        <v>1500000</v>
      </c>
      <c r="M21" s="259">
        <f t="shared" si="4"/>
        <v>1500000</v>
      </c>
      <c r="N21" s="259">
        <f t="shared" si="4"/>
        <v>1500000</v>
      </c>
      <c r="O21" s="259">
        <f>O19+O20</f>
        <v>18181818.18181818</v>
      </c>
      <c r="P21" s="103">
        <f>P19+P20</f>
        <v>19000000</v>
      </c>
      <c r="Q21" s="103">
        <f>Q19+Q20</f>
        <v>18000000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34090.909090909088</v>
      </c>
      <c r="D23" s="257">
        <f t="shared" ref="D23:N23" si="5">IF(D21*5%&lt;500000,D21*5%,500000)</f>
        <v>75000</v>
      </c>
      <c r="E23" s="257">
        <f t="shared" si="5"/>
        <v>75000</v>
      </c>
      <c r="F23" s="257">
        <f t="shared" si="5"/>
        <v>75000</v>
      </c>
      <c r="G23" s="257">
        <f>IF(G21*5%&lt;500000,G21*5%,500000)</f>
        <v>75000</v>
      </c>
      <c r="H23" s="257">
        <f t="shared" si="5"/>
        <v>75000</v>
      </c>
      <c r="I23" s="257">
        <f t="shared" si="5"/>
        <v>75000</v>
      </c>
      <c r="J23" s="257">
        <f t="shared" si="5"/>
        <v>75000</v>
      </c>
      <c r="K23" s="257">
        <f t="shared" si="5"/>
        <v>75000</v>
      </c>
      <c r="L23" s="257">
        <f t="shared" si="5"/>
        <v>75000</v>
      </c>
      <c r="M23" s="257">
        <f t="shared" si="5"/>
        <v>75000</v>
      </c>
      <c r="N23" s="257">
        <f t="shared" si="5"/>
        <v>75000</v>
      </c>
      <c r="O23" s="99">
        <f>IF(O21*5%&lt;6000000,O21*5%,6000000)</f>
        <v>909090.90909090906</v>
      </c>
      <c r="P23" s="110">
        <f>IF(P21*5%&lt;6000000,P21*5%,6000000)</f>
        <v>950000</v>
      </c>
      <c r="Q23" s="110">
        <f>IF(Q21*5%&lt;6000000,Q21*5%,6000000)</f>
        <v>900000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34090.909090909088</v>
      </c>
      <c r="D26" s="257">
        <f t="shared" si="6"/>
        <v>75000</v>
      </c>
      <c r="E26" s="257">
        <f t="shared" si="6"/>
        <v>75000</v>
      </c>
      <c r="F26" s="257">
        <f t="shared" si="6"/>
        <v>75000</v>
      </c>
      <c r="G26" s="257">
        <f>SUM(G23:G25)</f>
        <v>75000</v>
      </c>
      <c r="H26" s="257">
        <f t="shared" si="6"/>
        <v>75000</v>
      </c>
      <c r="I26" s="257">
        <f t="shared" si="6"/>
        <v>75000</v>
      </c>
      <c r="J26" s="257">
        <f t="shared" si="6"/>
        <v>75000</v>
      </c>
      <c r="K26" s="257">
        <f t="shared" si="6"/>
        <v>75000</v>
      </c>
      <c r="L26" s="257">
        <f t="shared" si="6"/>
        <v>75000</v>
      </c>
      <c r="M26" s="257">
        <f t="shared" si="6"/>
        <v>75000</v>
      </c>
      <c r="N26" s="257">
        <f t="shared" si="6"/>
        <v>75000</v>
      </c>
      <c r="O26" s="263">
        <f>SUM(O22:O25)</f>
        <v>909090.90909090906</v>
      </c>
      <c r="P26" s="103">
        <f>SUM(P23:P25)</f>
        <v>950000</v>
      </c>
      <c r="Q26" s="103">
        <f>SUM(Q23:Q25)</f>
        <v>900000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647727.27272727271</v>
      </c>
      <c r="D28" s="255">
        <f t="shared" ref="D28:O28" si="7">D21-D26</f>
        <v>1425000</v>
      </c>
      <c r="E28" s="255">
        <f t="shared" si="7"/>
        <v>1425000</v>
      </c>
      <c r="F28" s="255">
        <f t="shared" si="7"/>
        <v>1425000</v>
      </c>
      <c r="G28" s="255">
        <f>G21-G26</f>
        <v>1425000</v>
      </c>
      <c r="H28" s="255">
        <f t="shared" si="7"/>
        <v>1425000</v>
      </c>
      <c r="I28" s="255">
        <f t="shared" si="7"/>
        <v>1425000</v>
      </c>
      <c r="J28" s="255">
        <f t="shared" si="7"/>
        <v>1425000</v>
      </c>
      <c r="K28" s="255">
        <f t="shared" si="7"/>
        <v>1425000</v>
      </c>
      <c r="L28" s="255">
        <f t="shared" si="7"/>
        <v>1425000</v>
      </c>
      <c r="M28" s="255">
        <f t="shared" si="7"/>
        <v>1425000</v>
      </c>
      <c r="N28" s="255">
        <f t="shared" si="7"/>
        <v>1425000</v>
      </c>
      <c r="O28" s="255">
        <f t="shared" si="7"/>
        <v>17272727.27272727</v>
      </c>
      <c r="P28" s="103">
        <f>P21-P26</f>
        <v>18050000</v>
      </c>
      <c r="Q28" s="103">
        <f>Q21-Q26</f>
        <v>17100000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7772727.2727272725</v>
      </c>
      <c r="D30" s="253">
        <f>SUM(C28:D28)*D10/D11</f>
        <v>12436363.636363637</v>
      </c>
      <c r="E30" s="253">
        <f>SUM(C28:E28)*E10/E11</f>
        <v>13990909.090909088</v>
      </c>
      <c r="F30" s="253">
        <f>SUM(C28:F28)*F10/F11</f>
        <v>14768181.818181816</v>
      </c>
      <c r="G30" s="253">
        <f>SUM(C28:G28)*G10/G11</f>
        <v>15234545.454545453</v>
      </c>
      <c r="H30" s="253">
        <f>SUM(C28:H28)*H10/H11</f>
        <v>15545454.545454545</v>
      </c>
      <c r="I30" s="253">
        <f>SUM(C28:I28)*I10/I11</f>
        <v>15767532.467532469</v>
      </c>
      <c r="J30" s="253">
        <f>SUM(C28:J28)*J10/J11</f>
        <v>15934090.90909091</v>
      </c>
      <c r="K30" s="253">
        <f>SUM(C28:K28)*K10/K11</f>
        <v>16063636.363636365</v>
      </c>
      <c r="L30" s="253">
        <f>SUM(C28:L28)*L10/L11</f>
        <v>16167272.727272728</v>
      </c>
      <c r="M30" s="253">
        <f>SUM(C28:M28)*M10/M11</f>
        <v>16252066.11570248</v>
      </c>
      <c r="N30" s="253">
        <f>SUM(C28:N28)*N10/N11</f>
        <v>16322727.272727273</v>
      </c>
      <c r="O30" s="254">
        <f>O28</f>
        <v>17272727.27272727</v>
      </c>
      <c r="P30" s="108">
        <f>P28</f>
        <v>18050000</v>
      </c>
      <c r="Q30" s="108">
        <f>Q28</f>
        <v>17100000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681818.18181818177</v>
      </c>
      <c r="D41" s="50">
        <f t="shared" si="14"/>
        <v>1500000</v>
      </c>
      <c r="E41" s="50">
        <f t="shared" si="14"/>
        <v>1500000</v>
      </c>
      <c r="F41" s="50">
        <f t="shared" si="14"/>
        <v>1500000</v>
      </c>
      <c r="G41" s="50">
        <f t="shared" si="14"/>
        <v>1500000</v>
      </c>
      <c r="H41" s="50">
        <f t="shared" si="14"/>
        <v>1500000</v>
      </c>
      <c r="I41" s="50">
        <f t="shared" si="14"/>
        <v>1500000</v>
      </c>
      <c r="J41" s="50">
        <f t="shared" si="14"/>
        <v>1500000</v>
      </c>
      <c r="K41" s="50">
        <f>K21-K25-K36</f>
        <v>1500000</v>
      </c>
      <c r="L41" s="50">
        <f>L21-L25-L36</f>
        <v>1500000</v>
      </c>
      <c r="M41" s="50">
        <f>M21-M25-M36</f>
        <v>1500000</v>
      </c>
      <c r="N41" s="50">
        <f>N21-N25-N36</f>
        <v>1500000</v>
      </c>
      <c r="O41" s="50">
        <f>O21-O25-O36-O38</f>
        <v>18181818.18181818</v>
      </c>
      <c r="P41" s="126">
        <f>P21-P25-P36</f>
        <v>19000000</v>
      </c>
      <c r="Q41" s="126">
        <f>Q21-Q25-Q36</f>
        <v>18000000</v>
      </c>
    </row>
    <row r="42" spans="1:22" x14ac:dyDescent="0.25">
      <c r="P42" s="114"/>
      <c r="Q42" s="114"/>
    </row>
    <row r="43" spans="1:22" s="62" customFormat="1" x14ac:dyDescent="0.25">
      <c r="B43" s="63" t="s">
        <v>65</v>
      </c>
      <c r="C43" s="63" t="s">
        <v>66</v>
      </c>
      <c r="P43" s="118"/>
      <c r="Q43" s="118"/>
    </row>
    <row r="44" spans="1:22" x14ac:dyDescent="0.25">
      <c r="B44" s="8" t="s">
        <v>67</v>
      </c>
      <c r="C44" s="119">
        <v>54000000</v>
      </c>
    </row>
    <row r="45" spans="1:22" x14ac:dyDescent="0.25">
      <c r="B45" s="8" t="s">
        <v>93</v>
      </c>
      <c r="C45" s="119">
        <v>58500000</v>
      </c>
    </row>
    <row r="46" spans="1:22" x14ac:dyDescent="0.25">
      <c r="B46" s="8" t="s">
        <v>94</v>
      </c>
      <c r="C46" s="119">
        <v>63000000</v>
      </c>
    </row>
    <row r="47" spans="1:22" x14ac:dyDescent="0.25">
      <c r="B47" s="8" t="s">
        <v>95</v>
      </c>
      <c r="C47" s="119">
        <v>67500000</v>
      </c>
    </row>
    <row r="48" spans="1:22" x14ac:dyDescent="0.25">
      <c r="B48" s="8" t="s">
        <v>68</v>
      </c>
      <c r="C48" s="119">
        <v>58500000</v>
      </c>
    </row>
    <row r="49" spans="2:17" x14ac:dyDescent="0.25">
      <c r="B49" s="8" t="s">
        <v>69</v>
      </c>
      <c r="C49" s="119">
        <v>63000000</v>
      </c>
    </row>
    <row r="50" spans="2:17" x14ac:dyDescent="0.25">
      <c r="B50" s="8" t="s">
        <v>50</v>
      </c>
      <c r="C50" s="119">
        <v>67500000</v>
      </c>
    </row>
    <row r="51" spans="2:17" x14ac:dyDescent="0.25">
      <c r="B51" s="8" t="s">
        <v>64</v>
      </c>
      <c r="C51" s="119">
        <v>72000000</v>
      </c>
    </row>
    <row r="52" spans="2:17" x14ac:dyDescent="0.25">
      <c r="B52" s="8" t="s">
        <v>96</v>
      </c>
      <c r="C52" s="119">
        <v>112500000</v>
      </c>
    </row>
    <row r="53" spans="2:17" x14ac:dyDescent="0.25">
      <c r="B53" s="8" t="s">
        <v>97</v>
      </c>
      <c r="C53" s="119">
        <v>117000000</v>
      </c>
    </row>
    <row r="54" spans="2:17" x14ac:dyDescent="0.25">
      <c r="B54" s="8" t="s">
        <v>98</v>
      </c>
      <c r="C54" s="119">
        <v>121500000</v>
      </c>
    </row>
    <row r="55" spans="2:17" x14ac:dyDescent="0.25">
      <c r="B55" s="8" t="s">
        <v>99</v>
      </c>
      <c r="C55" s="119">
        <v>126000000</v>
      </c>
      <c r="P55" s="93"/>
      <c r="Q55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2500-000000000000}"/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61"/>
  <dimension ref="A1:V55"/>
  <sheetViews>
    <sheetView zoomScale="38" workbookViewId="0">
      <selection activeCell="B9" sqref="B9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528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94"/>
      <c r="Q9" s="94"/>
    </row>
    <row r="10" spans="1:17" x14ac:dyDescent="0.25">
      <c r="A10" s="6"/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P10" s="94"/>
      <c r="Q10" s="94"/>
    </row>
    <row r="11" spans="1:17" x14ac:dyDescent="0.25">
      <c r="A11" s="23"/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7"/>
      <c r="M11" s="25"/>
      <c r="N11" s="25"/>
      <c r="O11" s="23"/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80</v>
      </c>
      <c r="Q12" s="122" t="s">
        <v>3</v>
      </c>
    </row>
    <row r="13" spans="1:17" ht="20.100000000000001" customHeight="1" x14ac:dyDescent="0.25">
      <c r="A13" s="30">
        <v>1</v>
      </c>
      <c r="B13" s="31" t="s">
        <v>9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0</v>
      </c>
      <c r="P13" s="123">
        <f t="shared" ref="P13:P18" si="0">Q13</f>
        <v>0</v>
      </c>
      <c r="Q13" s="123">
        <f t="shared" ref="Q13:Q18" si="1">G13*12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0"/>
        <v>0</v>
      </c>
      <c r="Q15" s="123">
        <f t="shared" si="1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0"/>
        <v>0</v>
      </c>
      <c r="Q16" s="123">
        <f t="shared" si="1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0"/>
        <v>0</v>
      </c>
      <c r="Q17" s="123">
        <f t="shared" si="1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0"/>
        <v>0</v>
      </c>
      <c r="Q18" s="123">
        <f t="shared" si="1"/>
        <v>0</v>
      </c>
    </row>
    <row r="19" spans="1:22" ht="20.100000000000001" customHeight="1" x14ac:dyDescent="0.25">
      <c r="A19" s="30">
        <v>7</v>
      </c>
      <c r="B19" s="31" t="s">
        <v>15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8">
        <f>SUM(O13:O18)</f>
        <v>0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53">
        <f t="shared" ref="C21:N21" si="2">C19+C20</f>
        <v>0</v>
      </c>
      <c r="D21" s="53">
        <f t="shared" si="2"/>
        <v>0</v>
      </c>
      <c r="E21" s="53">
        <f t="shared" si="2"/>
        <v>0</v>
      </c>
      <c r="F21" s="53">
        <f t="shared" si="2"/>
        <v>0</v>
      </c>
      <c r="G21" s="53">
        <f t="shared" si="2"/>
        <v>0</v>
      </c>
      <c r="H21" s="53">
        <f t="shared" si="2"/>
        <v>0</v>
      </c>
      <c r="I21" s="53">
        <f t="shared" si="2"/>
        <v>0</v>
      </c>
      <c r="J21" s="53">
        <f t="shared" si="2"/>
        <v>0</v>
      </c>
      <c r="K21" s="53">
        <f t="shared" si="2"/>
        <v>0</v>
      </c>
      <c r="L21" s="53">
        <f>L19+L20</f>
        <v>0</v>
      </c>
      <c r="M21" s="53">
        <f t="shared" si="2"/>
        <v>0</v>
      </c>
      <c r="N21" s="53">
        <f t="shared" si="2"/>
        <v>0</v>
      </c>
      <c r="O21" s="54">
        <f>O19+O20</f>
        <v>0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33"/>
      <c r="D22" s="33"/>
      <c r="E22" s="33"/>
      <c r="F22" s="33"/>
      <c r="G22" s="33"/>
      <c r="H22" s="33"/>
      <c r="I22" s="33"/>
      <c r="J22" s="33"/>
      <c r="K22" s="26"/>
      <c r="L22" s="26"/>
      <c r="M22" s="26"/>
      <c r="N22" s="26"/>
      <c r="O22" s="32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37">
        <f>IF(C21*5%&lt;500000,C21*5%,500000)</f>
        <v>0</v>
      </c>
      <c r="D23" s="37">
        <f t="shared" ref="D23:N23" si="3">IF(D21*5%&lt;500000,D21*5%,500000)</f>
        <v>0</v>
      </c>
      <c r="E23" s="37">
        <f t="shared" si="3"/>
        <v>0</v>
      </c>
      <c r="F23" s="37">
        <f t="shared" si="3"/>
        <v>0</v>
      </c>
      <c r="G23" s="37">
        <f t="shared" si="3"/>
        <v>0</v>
      </c>
      <c r="H23" s="37">
        <f t="shared" si="3"/>
        <v>0</v>
      </c>
      <c r="I23" s="37">
        <f t="shared" si="3"/>
        <v>0</v>
      </c>
      <c r="J23" s="37">
        <f t="shared" si="3"/>
        <v>0</v>
      </c>
      <c r="K23" s="37">
        <f t="shared" si="3"/>
        <v>0</v>
      </c>
      <c r="L23" s="37">
        <f>IF(L21*5%&lt;500000,L21*5%,500000)</f>
        <v>0</v>
      </c>
      <c r="M23" s="37">
        <f t="shared" si="3"/>
        <v>0</v>
      </c>
      <c r="N23" s="37">
        <f t="shared" si="3"/>
        <v>0</v>
      </c>
      <c r="O23" s="32">
        <f>SUM(C23:N23)</f>
        <v>0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33"/>
      <c r="D24" s="33"/>
      <c r="E24" s="33"/>
      <c r="F24" s="33"/>
      <c r="G24" s="33"/>
      <c r="H24" s="33"/>
      <c r="I24" s="33"/>
      <c r="J24" s="33"/>
      <c r="K24" s="26"/>
      <c r="L24" s="26"/>
      <c r="M24" s="26"/>
      <c r="N24" s="26"/>
      <c r="O24" s="3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2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37">
        <f t="shared" ref="C26:N26" si="4">SUM(C23:C25)</f>
        <v>0</v>
      </c>
      <c r="D26" s="37">
        <f t="shared" si="4"/>
        <v>0</v>
      </c>
      <c r="E26" s="37">
        <f t="shared" si="4"/>
        <v>0</v>
      </c>
      <c r="F26" s="37">
        <f t="shared" si="4"/>
        <v>0</v>
      </c>
      <c r="G26" s="37">
        <f t="shared" si="4"/>
        <v>0</v>
      </c>
      <c r="H26" s="37">
        <f t="shared" si="4"/>
        <v>0</v>
      </c>
      <c r="I26" s="37">
        <f t="shared" si="4"/>
        <v>0</v>
      </c>
      <c r="J26" s="37">
        <f t="shared" si="4"/>
        <v>0</v>
      </c>
      <c r="K26" s="37">
        <f t="shared" si="4"/>
        <v>0</v>
      </c>
      <c r="L26" s="37">
        <f>SUM(L23:L25)</f>
        <v>0</v>
      </c>
      <c r="M26" s="37">
        <f t="shared" si="4"/>
        <v>0</v>
      </c>
      <c r="N26" s="37">
        <f t="shared" si="4"/>
        <v>0</v>
      </c>
      <c r="O26" s="40">
        <f>SUM(O22:O25)</f>
        <v>0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33"/>
      <c r="D27" s="33"/>
      <c r="E27" s="33"/>
      <c r="F27" s="33"/>
      <c r="G27" s="33"/>
      <c r="H27" s="33"/>
      <c r="I27" s="33"/>
      <c r="J27" s="33"/>
      <c r="K27" s="26"/>
      <c r="L27" s="26"/>
      <c r="M27" s="26"/>
      <c r="N27" s="26"/>
      <c r="O27" s="32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53">
        <f t="shared" ref="C28:N28" si="5">C21-C26</f>
        <v>0</v>
      </c>
      <c r="D28" s="53">
        <f t="shared" si="5"/>
        <v>0</v>
      </c>
      <c r="E28" s="53">
        <f t="shared" si="5"/>
        <v>0</v>
      </c>
      <c r="F28" s="53">
        <f t="shared" si="5"/>
        <v>0</v>
      </c>
      <c r="G28" s="53">
        <f t="shared" si="5"/>
        <v>0</v>
      </c>
      <c r="H28" s="53">
        <f t="shared" si="5"/>
        <v>0</v>
      </c>
      <c r="I28" s="53">
        <f t="shared" si="5"/>
        <v>0</v>
      </c>
      <c r="J28" s="53">
        <f t="shared" si="5"/>
        <v>0</v>
      </c>
      <c r="K28" s="53">
        <f t="shared" si="5"/>
        <v>0</v>
      </c>
      <c r="L28" s="53">
        <f>L21-L26</f>
        <v>0</v>
      </c>
      <c r="M28" s="53">
        <f t="shared" si="5"/>
        <v>0</v>
      </c>
      <c r="N28" s="53">
        <f t="shared" si="5"/>
        <v>0</v>
      </c>
      <c r="O28" s="53">
        <f>O21-O26</f>
        <v>0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33"/>
      <c r="D29" s="33"/>
      <c r="E29" s="33"/>
      <c r="F29" s="33"/>
      <c r="G29" s="33"/>
      <c r="H29" s="33"/>
      <c r="I29" s="33"/>
      <c r="J29" s="33"/>
      <c r="K29" s="26"/>
      <c r="L29" s="26"/>
      <c r="M29" s="26"/>
      <c r="N29" s="26"/>
      <c r="O29" s="32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43">
        <f>ROUNDDOWN(SUM(C28)*12/1,-3)</f>
        <v>0</v>
      </c>
      <c r="D30" s="43">
        <f>ROUNDDOWN(SUM(C28:D28)*12/2,-3)</f>
        <v>0</v>
      </c>
      <c r="E30" s="43">
        <f>ROUNDDOWN(SUM(C28:E28)*12/3,-3)</f>
        <v>0</v>
      </c>
      <c r="F30" s="43">
        <f>ROUNDDOWN(SUM(C28:F28)*12/4,-3)</f>
        <v>0</v>
      </c>
      <c r="G30" s="43">
        <f>ROUNDDOWN(SUM(C28:G28)*12/5,-3)</f>
        <v>0</v>
      </c>
      <c r="H30" s="43">
        <f>ROUNDDOWN(SUM(C28:H28)*12/6,-3)</f>
        <v>0</v>
      </c>
      <c r="I30" s="43">
        <f>ROUNDDOWN(SUM(C28:I28)*12/7,-3)</f>
        <v>0</v>
      </c>
      <c r="J30" s="43">
        <f>ROUNDDOWN(SUM(C28:J28)*12/8,-3)</f>
        <v>0</v>
      </c>
      <c r="K30" s="43">
        <f>ROUNDDOWN(SUM(C28:K28)*12/9,-3)</f>
        <v>0</v>
      </c>
      <c r="L30" s="43">
        <f>ROUNDDOWN(SUM(C28:L28)*12/10,-3)</f>
        <v>0</v>
      </c>
      <c r="M30" s="43">
        <f>ROUNDDOWN(SUM(C28:M28)*12/11,-3)</f>
        <v>0</v>
      </c>
      <c r="N30" s="43">
        <f>ROUNDDOWN(SUM(C28:N28)*12/12,-3)</f>
        <v>0</v>
      </c>
      <c r="O30" s="44">
        <f>O28</f>
        <v>0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53">
        <v>72000000</v>
      </c>
      <c r="D31" s="53">
        <f>C31</f>
        <v>72000000</v>
      </c>
      <c r="E31" s="53">
        <f t="shared" ref="E31:M31" si="6">D31</f>
        <v>72000000</v>
      </c>
      <c r="F31" s="53">
        <f t="shared" si="6"/>
        <v>72000000</v>
      </c>
      <c r="G31" s="53">
        <f t="shared" si="6"/>
        <v>72000000</v>
      </c>
      <c r="H31" s="53">
        <f>G31</f>
        <v>72000000</v>
      </c>
      <c r="I31" s="53">
        <f t="shared" si="6"/>
        <v>72000000</v>
      </c>
      <c r="J31" s="53">
        <f t="shared" si="6"/>
        <v>72000000</v>
      </c>
      <c r="K31" s="53">
        <f t="shared" si="6"/>
        <v>72000000</v>
      </c>
      <c r="L31" s="53">
        <f t="shared" si="6"/>
        <v>72000000</v>
      </c>
      <c r="M31" s="53">
        <f t="shared" si="6"/>
        <v>72000000</v>
      </c>
      <c r="N31" s="53">
        <f>M31</f>
        <v>72000000</v>
      </c>
      <c r="O31" s="53">
        <f>N31</f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38">
        <f>ROUNDDOWN(IF(C30&lt;=C31,0,IF(C30&gt;C31,C30-C31)),-3)</f>
        <v>0</v>
      </c>
      <c r="D32" s="38">
        <f t="shared" ref="D32:Q32" si="7">ROUNDDOWN(IF(D30&lt;=D31,0,IF(D30&gt;D31,D30-D31)),-3)</f>
        <v>0</v>
      </c>
      <c r="E32" s="38">
        <f t="shared" si="7"/>
        <v>0</v>
      </c>
      <c r="F32" s="38">
        <f t="shared" si="7"/>
        <v>0</v>
      </c>
      <c r="G32" s="38">
        <f t="shared" si="7"/>
        <v>0</v>
      </c>
      <c r="H32" s="38">
        <f t="shared" si="7"/>
        <v>0</v>
      </c>
      <c r="I32" s="38">
        <f t="shared" si="7"/>
        <v>0</v>
      </c>
      <c r="J32" s="38">
        <f t="shared" si="7"/>
        <v>0</v>
      </c>
      <c r="K32" s="38">
        <f t="shared" si="7"/>
        <v>0</v>
      </c>
      <c r="L32" s="38">
        <f t="shared" si="7"/>
        <v>0</v>
      </c>
      <c r="M32" s="38">
        <f t="shared" si="7"/>
        <v>0</v>
      </c>
      <c r="N32" s="38">
        <f t="shared" si="7"/>
        <v>0</v>
      </c>
      <c r="O32" s="38">
        <f t="shared" si="7"/>
        <v>0</v>
      </c>
      <c r="P32" s="103">
        <f t="shared" si="7"/>
        <v>0</v>
      </c>
      <c r="Q32" s="103">
        <f t="shared" si="7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45">
        <f t="shared" ref="C33:O33" si="8">IF(C32&lt;0,0,IF(C32&lt;50000000,C32*5%,IF(C32&lt;250000000,(C32-50000000)*15%+2500000,IF(C32&lt;500000000,(C32-250000000)*25%+32500000,IF(C32&gt;500000000,(C32-500000000)*30%+95000000)))))</f>
        <v>0</v>
      </c>
      <c r="D33" s="45">
        <f t="shared" si="8"/>
        <v>0</v>
      </c>
      <c r="E33" s="45">
        <f t="shared" si="8"/>
        <v>0</v>
      </c>
      <c r="F33" s="45">
        <f t="shared" si="8"/>
        <v>0</v>
      </c>
      <c r="G33" s="45">
        <f t="shared" si="8"/>
        <v>0</v>
      </c>
      <c r="H33" s="45">
        <f t="shared" si="8"/>
        <v>0</v>
      </c>
      <c r="I33" s="45">
        <f t="shared" si="8"/>
        <v>0</v>
      </c>
      <c r="J33" s="45">
        <f t="shared" si="8"/>
        <v>0</v>
      </c>
      <c r="K33" s="45">
        <f t="shared" si="8"/>
        <v>0</v>
      </c>
      <c r="L33" s="45">
        <f t="shared" si="8"/>
        <v>0</v>
      </c>
      <c r="M33" s="45">
        <f t="shared" si="8"/>
        <v>0</v>
      </c>
      <c r="N33" s="45">
        <f t="shared" si="8"/>
        <v>0</v>
      </c>
      <c r="O33" s="45">
        <f t="shared" si="8"/>
        <v>0</v>
      </c>
      <c r="P33" s="103">
        <f>IF(P32&lt;0,0,IF(P32&lt;50000000,P32*5%,IF(P32&lt;250000000,(P32-50000000)*15%+2500000,IF(P32&lt;500000000,(P32-250000000)*25%+32500000,IF(P32&gt;500000000,(P32-500000000)*30%+95000000)))))</f>
        <v>0</v>
      </c>
      <c r="Q33" s="103">
        <f>IF(Q32&lt;0,0,IF(Q32&lt;50000000,Q32*5%,IF(Q32&lt;250000000,(Q32-50000000)*15%+2500000,IF(Q32&lt;500000000,(Q32-250000000)*25%+32500000,IF(Q32&gt;500000000,(Q32-500000000)*30%+95000000)))))</f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26"/>
      <c r="O34" s="4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53">
        <f>C33-C34</f>
        <v>0</v>
      </c>
      <c r="D35" s="53">
        <f t="shared" ref="D35:N35" si="9">D33-D34</f>
        <v>0</v>
      </c>
      <c r="E35" s="53">
        <f t="shared" si="9"/>
        <v>0</v>
      </c>
      <c r="F35" s="53">
        <f t="shared" si="9"/>
        <v>0</v>
      </c>
      <c r="G35" s="53">
        <f t="shared" si="9"/>
        <v>0</v>
      </c>
      <c r="H35" s="53">
        <f t="shared" si="9"/>
        <v>0</v>
      </c>
      <c r="I35" s="53">
        <f t="shared" si="9"/>
        <v>0</v>
      </c>
      <c r="J35" s="53">
        <f t="shared" si="9"/>
        <v>0</v>
      </c>
      <c r="K35" s="53">
        <f t="shared" si="9"/>
        <v>0</v>
      </c>
      <c r="L35" s="53">
        <f t="shared" si="9"/>
        <v>0</v>
      </c>
      <c r="M35" s="53">
        <f t="shared" si="9"/>
        <v>0</v>
      </c>
      <c r="N35" s="53">
        <f t="shared" si="9"/>
        <v>0</v>
      </c>
      <c r="O35" s="56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108">
        <f>(C35/12*1)*120%</f>
        <v>0</v>
      </c>
      <c r="D36" s="108">
        <f>(D35/12*2*120%)-SUM(C36)</f>
        <v>0</v>
      </c>
      <c r="E36" s="108">
        <f>(E35/12*3*120%-SUM(C36:D36))</f>
        <v>0</v>
      </c>
      <c r="F36" s="108">
        <f>(F35/12*4*120%-SUM(C36:E36))</f>
        <v>0</v>
      </c>
      <c r="G36" s="108">
        <f>(G35/12*5*120%-SUM(C36:F36))</f>
        <v>0</v>
      </c>
      <c r="H36" s="108">
        <f>(H35/12*6*120%-SUM(C36:G36))</f>
        <v>0</v>
      </c>
      <c r="I36" s="108">
        <f>(I35/12*7*120%-SUM(C36:H36))</f>
        <v>0</v>
      </c>
      <c r="J36" s="108">
        <f>(J35/12*8*120%-SUM(C36:I36))</f>
        <v>0</v>
      </c>
      <c r="K36" s="108">
        <f>(K35/12*9*120%-SUM(C36:J36))</f>
        <v>0</v>
      </c>
      <c r="L36" s="108">
        <f>(L35/12*10*120%-SUM(C36:K36))</f>
        <v>0</v>
      </c>
      <c r="M36" s="108">
        <f>(M35/12*11*120%-SUM(C36:L36))</f>
        <v>0</v>
      </c>
      <c r="N36" s="108">
        <f>(N35/12*12*120%-SUM(C36:M36))</f>
        <v>0</v>
      </c>
      <c r="O36" s="103">
        <f>SUM(C36:N36)*120%+P37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0">C21-C25-C36</f>
        <v>0</v>
      </c>
      <c r="D41" s="50">
        <f t="shared" si="10"/>
        <v>0</v>
      </c>
      <c r="E41" s="50">
        <f t="shared" si="10"/>
        <v>0</v>
      </c>
      <c r="F41" s="50">
        <f t="shared" si="10"/>
        <v>0</v>
      </c>
      <c r="G41" s="50">
        <f t="shared" si="10"/>
        <v>0</v>
      </c>
      <c r="H41" s="50">
        <f t="shared" si="10"/>
        <v>0</v>
      </c>
      <c r="I41" s="50">
        <f t="shared" si="10"/>
        <v>0</v>
      </c>
      <c r="J41" s="50">
        <f t="shared" si="10"/>
        <v>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0</v>
      </c>
      <c r="O41" s="50">
        <f>O21-O25-O36-O38</f>
        <v>0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s="62" customFormat="1" x14ac:dyDescent="0.25">
      <c r="B43" s="63" t="s">
        <v>65</v>
      </c>
      <c r="C43" s="63" t="s">
        <v>66</v>
      </c>
      <c r="P43" s="118"/>
      <c r="Q43" s="118"/>
    </row>
    <row r="44" spans="1:22" x14ac:dyDescent="0.25">
      <c r="B44" s="8" t="s">
        <v>67</v>
      </c>
      <c r="C44" s="119">
        <v>54000000</v>
      </c>
    </row>
    <row r="45" spans="1:22" x14ac:dyDescent="0.25">
      <c r="B45" s="8" t="s">
        <v>93</v>
      </c>
      <c r="C45" s="119">
        <v>58500000</v>
      </c>
    </row>
    <row r="46" spans="1:22" x14ac:dyDescent="0.25">
      <c r="B46" s="8" t="s">
        <v>94</v>
      </c>
      <c r="C46" s="119">
        <v>63000000</v>
      </c>
    </row>
    <row r="47" spans="1:22" x14ac:dyDescent="0.25">
      <c r="B47" s="8" t="s">
        <v>95</v>
      </c>
      <c r="C47" s="119">
        <v>67500000</v>
      </c>
    </row>
    <row r="48" spans="1:22" x14ac:dyDescent="0.25">
      <c r="B48" s="8" t="s">
        <v>68</v>
      </c>
      <c r="C48" s="119">
        <v>58500000</v>
      </c>
    </row>
    <row r="49" spans="2:17" x14ac:dyDescent="0.25">
      <c r="B49" s="8" t="s">
        <v>69</v>
      </c>
      <c r="C49" s="119">
        <v>63000000</v>
      </c>
    </row>
    <row r="50" spans="2:17" x14ac:dyDescent="0.25">
      <c r="B50" s="8" t="s">
        <v>50</v>
      </c>
      <c r="C50" s="119">
        <v>67500000</v>
      </c>
    </row>
    <row r="51" spans="2:17" x14ac:dyDescent="0.25">
      <c r="B51" s="8" t="s">
        <v>64</v>
      </c>
      <c r="C51" s="119">
        <v>72000000</v>
      </c>
    </row>
    <row r="52" spans="2:17" x14ac:dyDescent="0.25">
      <c r="B52" s="8" t="s">
        <v>96</v>
      </c>
      <c r="C52" s="119">
        <v>112500000</v>
      </c>
    </row>
    <row r="53" spans="2:17" x14ac:dyDescent="0.25">
      <c r="B53" s="8" t="s">
        <v>97</v>
      </c>
      <c r="C53" s="119">
        <v>117000000</v>
      </c>
    </row>
    <row r="54" spans="2:17" x14ac:dyDescent="0.25">
      <c r="B54" s="8" t="s">
        <v>98</v>
      </c>
      <c r="C54" s="119">
        <v>121500000</v>
      </c>
    </row>
    <row r="55" spans="2:17" x14ac:dyDescent="0.25">
      <c r="B55" s="8" t="s">
        <v>99</v>
      </c>
      <c r="C55" s="119">
        <v>126000000</v>
      </c>
      <c r="P55" s="93"/>
      <c r="Q55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2600-000000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5">
    <tabColor rgb="FFC00000"/>
  </sheetPr>
  <dimension ref="A1:V59"/>
  <sheetViews>
    <sheetView topLeftCell="C26" zoomScale="76" zoomScaleNormal="100" workbookViewId="0">
      <selection activeCell="O36" sqref="O36"/>
    </sheetView>
  </sheetViews>
  <sheetFormatPr defaultColWidth="9.140625" defaultRowHeight="15" x14ac:dyDescent="0.25"/>
  <cols>
    <col min="1" max="1" width="8.5703125" style="3" bestFit="1" customWidth="1"/>
    <col min="2" max="2" width="75" style="3" customWidth="1"/>
    <col min="3" max="5" width="14" style="93" bestFit="1" customWidth="1"/>
    <col min="6" max="6" width="14.28515625" style="93" customWidth="1"/>
    <col min="7" max="7" width="16.42578125" style="93" customWidth="1"/>
    <col min="8" max="8" width="14.140625" style="93" customWidth="1"/>
    <col min="9" max="13" width="13.42578125" style="93" bestFit="1" customWidth="1"/>
    <col min="14" max="14" width="14.7109375" style="93" customWidth="1"/>
    <col min="15" max="15" width="14" style="9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525</v>
      </c>
      <c r="C1" s="18"/>
      <c r="D1" s="18"/>
      <c r="E1" s="18"/>
      <c r="F1" s="18"/>
      <c r="G1" s="18"/>
      <c r="H1" s="18"/>
      <c r="I1" s="18"/>
      <c r="J1" s="18"/>
      <c r="K1" s="18"/>
      <c r="O1" s="18"/>
      <c r="P1" s="94"/>
      <c r="Q1" s="94"/>
    </row>
    <row r="2" spans="1:17" x14ac:dyDescent="0.25">
      <c r="A2" s="6" t="s">
        <v>38</v>
      </c>
      <c r="B2" s="4"/>
      <c r="C2" s="18"/>
      <c r="D2" s="18"/>
      <c r="E2" s="18"/>
      <c r="F2" s="18"/>
      <c r="G2" s="18"/>
      <c r="H2" s="18"/>
      <c r="I2" s="18"/>
      <c r="J2" s="18"/>
      <c r="K2" s="18"/>
      <c r="O2" s="18"/>
      <c r="P2" s="94"/>
      <c r="Q2" s="94"/>
    </row>
    <row r="3" spans="1:17" x14ac:dyDescent="0.25">
      <c r="A3" s="6" t="s">
        <v>53</v>
      </c>
      <c r="B3" s="4" t="s">
        <v>67</v>
      </c>
      <c r="C3" s="18"/>
      <c r="D3" s="18"/>
      <c r="E3" s="18"/>
      <c r="F3" s="18"/>
      <c r="G3" s="18"/>
      <c r="H3" s="18"/>
      <c r="I3" s="18"/>
      <c r="J3" s="18"/>
      <c r="K3" s="18"/>
      <c r="O3" s="18"/>
      <c r="P3" s="94"/>
      <c r="Q3" s="94"/>
    </row>
    <row r="4" spans="1:17" x14ac:dyDescent="0.25">
      <c r="A4" s="5" t="s">
        <v>36</v>
      </c>
      <c r="B4" s="17"/>
      <c r="C4" s="18"/>
      <c r="D4" s="18"/>
      <c r="E4" s="18"/>
      <c r="F4" s="18"/>
      <c r="G4" s="18"/>
      <c r="H4" s="18"/>
      <c r="I4" s="18"/>
      <c r="J4" s="18"/>
      <c r="K4" s="18"/>
      <c r="O4" s="18"/>
      <c r="P4" s="94"/>
      <c r="Q4" s="94"/>
    </row>
    <row r="5" spans="1:17" x14ac:dyDescent="0.25">
      <c r="A5" s="6" t="s">
        <v>77</v>
      </c>
      <c r="B5" s="4"/>
      <c r="C5" s="18"/>
      <c r="D5" s="18"/>
      <c r="E5" s="18"/>
      <c r="F5" s="18"/>
      <c r="G5" s="18"/>
      <c r="H5" s="18"/>
      <c r="I5" s="18"/>
      <c r="J5" s="18"/>
      <c r="K5" s="18"/>
      <c r="O5" s="18"/>
      <c r="P5" s="94"/>
      <c r="Q5" s="94"/>
    </row>
    <row r="6" spans="1:17" x14ac:dyDescent="0.25">
      <c r="A6" s="6"/>
      <c r="B6" s="4"/>
      <c r="C6" s="18"/>
      <c r="D6" s="18"/>
      <c r="E6" s="18"/>
      <c r="F6" s="18"/>
      <c r="G6" s="18"/>
      <c r="H6" s="18"/>
      <c r="I6" s="18"/>
      <c r="J6" s="18"/>
      <c r="K6" s="18"/>
      <c r="O6" s="18"/>
      <c r="P6" s="94"/>
      <c r="Q6" s="94"/>
    </row>
    <row r="7" spans="1:17" x14ac:dyDescent="0.25">
      <c r="A7" s="6"/>
      <c r="B7" s="4"/>
      <c r="C7" s="18"/>
      <c r="D7" s="18"/>
      <c r="E7" s="18"/>
      <c r="F7" s="18"/>
      <c r="G7" s="18"/>
      <c r="H7" s="18"/>
      <c r="I7" s="18"/>
      <c r="J7" s="18"/>
      <c r="K7" s="18"/>
      <c r="O7" s="18"/>
      <c r="P7" s="94"/>
      <c r="Q7" s="94"/>
    </row>
    <row r="8" spans="1:17" x14ac:dyDescent="0.25">
      <c r="A8" s="6"/>
      <c r="B8" s="4"/>
      <c r="C8" s="18"/>
      <c r="D8" s="18"/>
      <c r="E8" s="18"/>
      <c r="F8" s="18"/>
      <c r="G8" s="18"/>
      <c r="H8" s="18"/>
      <c r="I8" s="18"/>
      <c r="J8" s="18"/>
      <c r="K8" s="18"/>
      <c r="O8" s="18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97" t="s">
        <v>39</v>
      </c>
      <c r="D12" s="97" t="s">
        <v>40</v>
      </c>
      <c r="E12" s="97" t="s">
        <v>41</v>
      </c>
      <c r="F12" s="97" t="s">
        <v>2</v>
      </c>
      <c r="G12" s="97" t="s">
        <v>42</v>
      </c>
      <c r="H12" s="97" t="s">
        <v>43</v>
      </c>
      <c r="I12" s="97" t="s">
        <v>44</v>
      </c>
      <c r="J12" s="97" t="s">
        <v>45</v>
      </c>
      <c r="K12" s="97" t="s">
        <v>46</v>
      </c>
      <c r="L12" s="97" t="s">
        <v>47</v>
      </c>
      <c r="M12" s="97" t="s">
        <v>48</v>
      </c>
      <c r="N12" s="97" t="s">
        <v>49</v>
      </c>
      <c r="O12" s="97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98">
        <v>5000000</v>
      </c>
      <c r="D13" s="98">
        <v>5000000</v>
      </c>
      <c r="E13" s="165">
        <v>5000000</v>
      </c>
      <c r="F13" s="98">
        <v>5000000</v>
      </c>
      <c r="G13" s="98">
        <v>7500000</v>
      </c>
      <c r="H13" s="98">
        <v>10000000</v>
      </c>
      <c r="I13" s="98">
        <v>7500000</v>
      </c>
      <c r="J13" s="98">
        <v>10000000</v>
      </c>
      <c r="K13" s="98">
        <v>10000000</v>
      </c>
      <c r="L13" s="98">
        <v>10000000</v>
      </c>
      <c r="M13" s="98">
        <v>10000000</v>
      </c>
      <c r="N13" s="98">
        <v>10000000</v>
      </c>
      <c r="O13" s="258">
        <f>SUM(C13:N13)</f>
        <v>95000000</v>
      </c>
      <c r="P13" s="123">
        <f>Q13</f>
        <v>60000000</v>
      </c>
      <c r="Q13" s="123">
        <f>F13*12</f>
        <v>60000000</v>
      </c>
    </row>
    <row r="14" spans="1:17" ht="20.100000000000001" customHeight="1" x14ac:dyDescent="0.25">
      <c r="A14" s="30">
        <v>2</v>
      </c>
      <c r="B14" s="31" t="s">
        <v>10</v>
      </c>
      <c r="C14" s="99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123">
        <v>0</v>
      </c>
      <c r="Q14" s="110">
        <v>0</v>
      </c>
    </row>
    <row r="15" spans="1:17" ht="20.100000000000001" customHeight="1" x14ac:dyDescent="0.25">
      <c r="A15" s="30">
        <v>3</v>
      </c>
      <c r="B15" s="31" t="s">
        <v>11</v>
      </c>
      <c r="C15" s="99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123">
        <v>0</v>
      </c>
      <c r="Q15" s="110">
        <v>0</v>
      </c>
    </row>
    <row r="16" spans="1:17" ht="20.100000000000001" customHeight="1" x14ac:dyDescent="0.25">
      <c r="A16" s="30">
        <v>4</v>
      </c>
      <c r="B16" s="31" t="s">
        <v>12</v>
      </c>
      <c r="C16" s="99">
        <v>4500000</v>
      </c>
      <c r="D16" s="98"/>
      <c r="E16" s="165">
        <v>3010000</v>
      </c>
      <c r="F16" s="98"/>
      <c r="G16" s="98"/>
      <c r="H16" s="98"/>
      <c r="I16" s="98"/>
      <c r="J16" s="98"/>
      <c r="K16" s="98"/>
      <c r="L16" s="98"/>
      <c r="M16" s="98"/>
      <c r="N16" s="98"/>
      <c r="O16" s="258">
        <f>SUM(C16:N16)</f>
        <v>7510000</v>
      </c>
      <c r="P16" s="123">
        <v>0</v>
      </c>
      <c r="Q16" s="110">
        <v>0</v>
      </c>
    </row>
    <row r="17" spans="1:22" ht="20.100000000000001" customHeight="1" x14ac:dyDescent="0.25">
      <c r="A17" s="30">
        <v>5</v>
      </c>
      <c r="B17" s="31" t="s">
        <v>13</v>
      </c>
      <c r="C17" s="99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123">
        <v>0</v>
      </c>
      <c r="Q17" s="110">
        <v>0</v>
      </c>
    </row>
    <row r="18" spans="1:22" s="2" customFormat="1" ht="30" x14ac:dyDescent="0.25">
      <c r="A18" s="34">
        <v>6</v>
      </c>
      <c r="B18" s="35" t="s">
        <v>14</v>
      </c>
      <c r="C18" s="99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124"/>
      <c r="P18" s="123">
        <v>0</v>
      </c>
      <c r="Q18" s="125">
        <v>0</v>
      </c>
    </row>
    <row r="19" spans="1:22" ht="20.100000000000001" customHeight="1" x14ac:dyDescent="0.25">
      <c r="A19" s="30">
        <v>7</v>
      </c>
      <c r="B19" s="31" t="s">
        <v>15</v>
      </c>
      <c r="C19" s="100">
        <f t="shared" ref="C19:O19" si="1">SUM(C13:C18)</f>
        <v>9500000</v>
      </c>
      <c r="D19" s="100">
        <f t="shared" si="1"/>
        <v>5000000</v>
      </c>
      <c r="E19" s="100">
        <f t="shared" si="1"/>
        <v>8010000</v>
      </c>
      <c r="F19" s="100">
        <f t="shared" si="1"/>
        <v>5000000</v>
      </c>
      <c r="G19" s="100">
        <f t="shared" si="1"/>
        <v>7500000</v>
      </c>
      <c r="H19" s="100">
        <f t="shared" si="1"/>
        <v>10000000</v>
      </c>
      <c r="I19" s="100">
        <f t="shared" si="1"/>
        <v>7500000</v>
      </c>
      <c r="J19" s="100">
        <f t="shared" si="1"/>
        <v>10000000</v>
      </c>
      <c r="K19" s="100">
        <f t="shared" si="1"/>
        <v>10000000</v>
      </c>
      <c r="L19" s="100">
        <f t="shared" si="1"/>
        <v>10000000</v>
      </c>
      <c r="M19" s="100">
        <f t="shared" si="1"/>
        <v>10000000</v>
      </c>
      <c r="N19" s="100">
        <f t="shared" si="1"/>
        <v>10000000</v>
      </c>
      <c r="O19" s="100">
        <f t="shared" si="1"/>
        <v>102510000</v>
      </c>
      <c r="P19" s="103">
        <f>SUM(P13:P18)</f>
        <v>60000000</v>
      </c>
      <c r="Q19" s="103">
        <f>SUM(Q13:Q18)</f>
        <v>60000000</v>
      </c>
    </row>
    <row r="20" spans="1:22" ht="20.100000000000001" customHeight="1" x14ac:dyDescent="0.25">
      <c r="A20" s="30">
        <v>8</v>
      </c>
      <c r="B20" s="31" t="s">
        <v>16</v>
      </c>
      <c r="C20" s="99"/>
      <c r="D20" s="99"/>
      <c r="E20" s="99"/>
      <c r="F20" s="99"/>
      <c r="G20" s="99"/>
      <c r="H20" s="99"/>
      <c r="I20" s="99"/>
      <c r="J20" s="99"/>
      <c r="K20" s="102"/>
      <c r="L20" s="102"/>
      <c r="M20" s="102"/>
      <c r="N20" s="102"/>
      <c r="O20" s="98">
        <v>5000000</v>
      </c>
      <c r="P20" s="110">
        <v>5000000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9500000</v>
      </c>
      <c r="D21" s="259">
        <f t="shared" ref="D21:N21" si="2">D19+D20</f>
        <v>5000000</v>
      </c>
      <c r="E21" s="259">
        <f t="shared" si="2"/>
        <v>8010000</v>
      </c>
      <c r="F21" s="259">
        <f t="shared" si="2"/>
        <v>5000000</v>
      </c>
      <c r="G21" s="259">
        <f>G19+G20</f>
        <v>7500000</v>
      </c>
      <c r="H21" s="259">
        <f t="shared" si="2"/>
        <v>10000000</v>
      </c>
      <c r="I21" s="259">
        <f t="shared" si="2"/>
        <v>7500000</v>
      </c>
      <c r="J21" s="259">
        <f t="shared" si="2"/>
        <v>10000000</v>
      </c>
      <c r="K21" s="259">
        <f t="shared" si="2"/>
        <v>10000000</v>
      </c>
      <c r="L21" s="259">
        <f t="shared" si="2"/>
        <v>10000000</v>
      </c>
      <c r="M21" s="259">
        <f t="shared" si="2"/>
        <v>10000000</v>
      </c>
      <c r="N21" s="259">
        <f t="shared" si="2"/>
        <v>10000000</v>
      </c>
      <c r="O21" s="259">
        <f>O19+O20</f>
        <v>107510000</v>
      </c>
      <c r="P21" s="103">
        <f>P19+P20</f>
        <v>65000000</v>
      </c>
      <c r="Q21" s="103">
        <f>Q19+Q20</f>
        <v>60000000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475000</v>
      </c>
      <c r="D23" s="257">
        <f t="shared" ref="D23:O23" si="3">IF(D21*5%&lt;500000,D21*5%,500000)</f>
        <v>250000</v>
      </c>
      <c r="E23" s="257">
        <f t="shared" si="3"/>
        <v>400500</v>
      </c>
      <c r="F23" s="257">
        <f t="shared" si="3"/>
        <v>250000</v>
      </c>
      <c r="G23" s="257">
        <f>IF(G21*5%&lt;500000,G21*5%,500000)</f>
        <v>375000</v>
      </c>
      <c r="H23" s="257">
        <f t="shared" si="3"/>
        <v>500000</v>
      </c>
      <c r="I23" s="257">
        <f t="shared" si="3"/>
        <v>375000</v>
      </c>
      <c r="J23" s="257">
        <f t="shared" si="3"/>
        <v>500000</v>
      </c>
      <c r="K23" s="257">
        <f t="shared" si="3"/>
        <v>500000</v>
      </c>
      <c r="L23" s="257">
        <f t="shared" si="3"/>
        <v>500000</v>
      </c>
      <c r="M23" s="257">
        <f t="shared" si="3"/>
        <v>500000</v>
      </c>
      <c r="N23" s="257">
        <f t="shared" si="3"/>
        <v>500000</v>
      </c>
      <c r="O23" s="257">
        <f>IF(O21*5%&lt;6000000,O21*5%,6000000)</f>
        <v>5375500</v>
      </c>
      <c r="P23" s="110">
        <f>IF(P21*5%&lt;6000000,P21*5%,6000000)</f>
        <v>3250000</v>
      </c>
      <c r="Q23" s="110">
        <f>IF(Q21*5%&lt;6000000,Q21*5%,6000000)</f>
        <v>3000000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4">SUM(C23:C25)</f>
        <v>475000</v>
      </c>
      <c r="D26" s="257">
        <f t="shared" si="4"/>
        <v>250000</v>
      </c>
      <c r="E26" s="257">
        <f t="shared" si="4"/>
        <v>400500</v>
      </c>
      <c r="F26" s="257">
        <f t="shared" si="4"/>
        <v>250000</v>
      </c>
      <c r="G26" s="257">
        <f>SUM(G23:G25)</f>
        <v>375000</v>
      </c>
      <c r="H26" s="257">
        <f t="shared" si="4"/>
        <v>500000</v>
      </c>
      <c r="I26" s="257">
        <f t="shared" si="4"/>
        <v>375000</v>
      </c>
      <c r="J26" s="257">
        <f t="shared" si="4"/>
        <v>500000</v>
      </c>
      <c r="K26" s="257">
        <f t="shared" si="4"/>
        <v>500000</v>
      </c>
      <c r="L26" s="257">
        <f t="shared" si="4"/>
        <v>500000</v>
      </c>
      <c r="M26" s="257">
        <f t="shared" si="4"/>
        <v>500000</v>
      </c>
      <c r="N26" s="257">
        <f t="shared" si="4"/>
        <v>500000</v>
      </c>
      <c r="O26" s="263">
        <f>SUM(O22:O25)</f>
        <v>5375500</v>
      </c>
      <c r="P26" s="103">
        <f>SUM(P23:P25)</f>
        <v>3250000</v>
      </c>
      <c r="Q26" s="103">
        <f>SUM(Q23:Q25)</f>
        <v>3000000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9025000</v>
      </c>
      <c r="D28" s="255">
        <f t="shared" ref="D28:O28" si="5">D21-D26</f>
        <v>4750000</v>
      </c>
      <c r="E28" s="255">
        <f t="shared" si="5"/>
        <v>7609500</v>
      </c>
      <c r="F28" s="255">
        <f t="shared" si="5"/>
        <v>4750000</v>
      </c>
      <c r="G28" s="255">
        <f>G21-G26</f>
        <v>7125000</v>
      </c>
      <c r="H28" s="255">
        <f t="shared" si="5"/>
        <v>9500000</v>
      </c>
      <c r="I28" s="255">
        <f t="shared" si="5"/>
        <v>7125000</v>
      </c>
      <c r="J28" s="255">
        <f t="shared" si="5"/>
        <v>9500000</v>
      </c>
      <c r="K28" s="255">
        <f t="shared" si="5"/>
        <v>9500000</v>
      </c>
      <c r="L28" s="255">
        <f t="shared" si="5"/>
        <v>9500000</v>
      </c>
      <c r="M28" s="255">
        <f t="shared" si="5"/>
        <v>9500000</v>
      </c>
      <c r="N28" s="255">
        <f t="shared" si="5"/>
        <v>9500000</v>
      </c>
      <c r="O28" s="255">
        <f t="shared" si="5"/>
        <v>102134500</v>
      </c>
      <c r="P28" s="103">
        <f>P21-P26</f>
        <v>61750000</v>
      </c>
      <c r="Q28" s="103">
        <f>Q21-Q26</f>
        <v>57000000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108300000</v>
      </c>
      <c r="D30" s="253">
        <f>SUM(C28:D28)*D10/D11</f>
        <v>82650000</v>
      </c>
      <c r="E30" s="253">
        <f>SUM(C28:E28)*E10/E11</f>
        <v>85538000</v>
      </c>
      <c r="F30" s="253">
        <f>SUM(C28:F28)*F10/F11</f>
        <v>78403500</v>
      </c>
      <c r="G30" s="253">
        <f>SUM(C28:G28)*G10/G11</f>
        <v>79822800</v>
      </c>
      <c r="H30" s="253">
        <f>SUM(C28:H28)*H10/H11</f>
        <v>85519000</v>
      </c>
      <c r="I30" s="253">
        <f>SUM(C28:I28)*I10/I11</f>
        <v>85516285.714285716</v>
      </c>
      <c r="J30" s="253">
        <f>SUM(C28:J28)*J10/J11</f>
        <v>89076750</v>
      </c>
      <c r="K30" s="253">
        <f>SUM(C28:K28)*K10/K11</f>
        <v>91846000</v>
      </c>
      <c r="L30" s="253">
        <f>SUM(C28:L28)*L10/L11</f>
        <v>94061400</v>
      </c>
      <c r="M30" s="253">
        <f>SUM(C28:M28)*M10/M11</f>
        <v>95874000</v>
      </c>
      <c r="N30" s="253">
        <f>SUM(C28:N28)*N10/N11</f>
        <v>97384500</v>
      </c>
      <c r="O30" s="254">
        <f>O28</f>
        <v>102134500</v>
      </c>
      <c r="P30" s="108">
        <f>P28</f>
        <v>61750000</v>
      </c>
      <c r="Q30" s="108">
        <f>Q28</f>
        <v>57000000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6">IF(C30&gt;0,VLOOKUP(C9,$B$47:$C$59,2,FALSE),0)</f>
        <v>54000000</v>
      </c>
      <c r="D31" s="255">
        <f t="shared" si="6"/>
        <v>54000000</v>
      </c>
      <c r="E31" s="255">
        <f t="shared" si="6"/>
        <v>54000000</v>
      </c>
      <c r="F31" s="255">
        <f t="shared" si="6"/>
        <v>54000000</v>
      </c>
      <c r="G31" s="255">
        <f>IF(G30&gt;0,VLOOKUP(G9,$B$47:$C$59,2,FALSE),0)</f>
        <v>54000000</v>
      </c>
      <c r="H31" s="255">
        <f t="shared" si="6"/>
        <v>54000000</v>
      </c>
      <c r="I31" s="255">
        <f t="shared" si="6"/>
        <v>54000000</v>
      </c>
      <c r="J31" s="255">
        <f t="shared" si="6"/>
        <v>54000000</v>
      </c>
      <c r="K31" s="255">
        <f t="shared" si="6"/>
        <v>54000000</v>
      </c>
      <c r="L31" s="255">
        <f t="shared" si="6"/>
        <v>54000000</v>
      </c>
      <c r="M31" s="255">
        <f t="shared" si="6"/>
        <v>54000000</v>
      </c>
      <c r="N31" s="255">
        <f t="shared" si="6"/>
        <v>54000000</v>
      </c>
      <c r="O31" s="255">
        <f t="shared" si="6"/>
        <v>54000000</v>
      </c>
      <c r="P31" s="103">
        <f>O31</f>
        <v>54000000</v>
      </c>
      <c r="Q31" s="103"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54300000</v>
      </c>
      <c r="D32" s="256">
        <f t="shared" ref="D32:O32" si="7">ROUNDDOWN(IF(D30&lt;=D31,0,IF(D30&gt;D31,D30-D31)),-3)</f>
        <v>28650000</v>
      </c>
      <c r="E32" s="256">
        <f t="shared" si="7"/>
        <v>31538000</v>
      </c>
      <c r="F32" s="256">
        <f t="shared" si="7"/>
        <v>24403000</v>
      </c>
      <c r="G32" s="256">
        <f t="shared" si="7"/>
        <v>25822000</v>
      </c>
      <c r="H32" s="256">
        <f t="shared" si="7"/>
        <v>31519000</v>
      </c>
      <c r="I32" s="256">
        <f>ROUNDDOWN(IF(I30&lt;=I31,0,IF(I30&gt;I31,I30-I31)),-3)</f>
        <v>31516000</v>
      </c>
      <c r="J32" s="256">
        <f t="shared" si="7"/>
        <v>35076000</v>
      </c>
      <c r="K32" s="256">
        <f t="shared" si="7"/>
        <v>37846000</v>
      </c>
      <c r="L32" s="256">
        <f t="shared" si="7"/>
        <v>40061000</v>
      </c>
      <c r="M32" s="256">
        <f t="shared" si="7"/>
        <v>41874000</v>
      </c>
      <c r="N32" s="256">
        <f t="shared" si="7"/>
        <v>43384000</v>
      </c>
      <c r="O32" s="256">
        <f t="shared" si="7"/>
        <v>48134000</v>
      </c>
      <c r="P32" s="103">
        <f t="shared" ref="P32:Q32" si="8">ROUNDDOWN(IF(P30&lt;=P31,0,IF(P30&gt;P31,P30-P31)),-3)</f>
        <v>7750000</v>
      </c>
      <c r="Q32" s="103">
        <f t="shared" si="8"/>
        <v>3000000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9">IF(C32&lt;0,0,IF(C32&lt;60000000,C32*5%,IF(C32&lt;250000000,(C32-60000000)*15%+3000000,IF(C32&lt;500000000,(C32-250000000)*25%+31500000,IF(C32&lt;5000000000,(C32-500000000)*30%+94000000,IF(C32&gt;5000000000,(C32-500000000)*35%+1444000000))))))</f>
        <v>2715000</v>
      </c>
      <c r="D33" s="257">
        <f t="shared" si="9"/>
        <v>1432500</v>
      </c>
      <c r="E33" s="257">
        <f t="shared" si="9"/>
        <v>1576900</v>
      </c>
      <c r="F33" s="257">
        <f t="shared" si="9"/>
        <v>1220150</v>
      </c>
      <c r="G33" s="257">
        <f t="shared" si="9"/>
        <v>1291100</v>
      </c>
      <c r="H33" s="257">
        <f t="shared" si="9"/>
        <v>1575950</v>
      </c>
      <c r="I33" s="257">
        <f t="shared" si="9"/>
        <v>1575800</v>
      </c>
      <c r="J33" s="257">
        <f t="shared" si="9"/>
        <v>1753800</v>
      </c>
      <c r="K33" s="257">
        <f t="shared" si="9"/>
        <v>1892300</v>
      </c>
      <c r="L33" s="257">
        <f t="shared" si="9"/>
        <v>2003050</v>
      </c>
      <c r="M33" s="257">
        <f t="shared" si="9"/>
        <v>2093700</v>
      </c>
      <c r="N33" s="257">
        <f t="shared" si="9"/>
        <v>2169200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2406700</v>
      </c>
      <c r="P33" s="255">
        <f t="shared" ref="P33:Q33" si="10">IF(P32&lt;0,0,IF(P32&lt;60000000,P32*5%,IF(P32&lt;250000000,(P32-60000000)*15%+3000000,IF(P32&lt;500000000,(P32-250000000)*25%+31500000,IF(P32&lt;5000000000,(P32-500000000)*30%+94000000,IF(P32&gt;5000000000,(P32-500000000)*35%+1444000000))))))</f>
        <v>387500</v>
      </c>
      <c r="Q33" s="255">
        <f t="shared" si="10"/>
        <v>150000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2715000</v>
      </c>
      <c r="D35" s="255">
        <f t="shared" ref="D35:M35" si="11">D33-D34</f>
        <v>1432500</v>
      </c>
      <c r="E35" s="255">
        <f t="shared" si="11"/>
        <v>1576900</v>
      </c>
      <c r="F35" s="255">
        <f t="shared" si="11"/>
        <v>1220150</v>
      </c>
      <c r="G35" s="255">
        <f t="shared" si="11"/>
        <v>1291100</v>
      </c>
      <c r="H35" s="255">
        <f t="shared" si="11"/>
        <v>1575950</v>
      </c>
      <c r="I35" s="255">
        <f t="shared" si="11"/>
        <v>1575800</v>
      </c>
      <c r="J35" s="255">
        <f t="shared" si="11"/>
        <v>1753800</v>
      </c>
      <c r="K35" s="255">
        <f t="shared" si="11"/>
        <v>1892300</v>
      </c>
      <c r="L35" s="255">
        <f t="shared" si="11"/>
        <v>2003050</v>
      </c>
      <c r="M35" s="255">
        <f t="shared" si="11"/>
        <v>2093700</v>
      </c>
      <c r="N35" s="255">
        <f>N33-N34</f>
        <v>2169200</v>
      </c>
      <c r="O35" s="255">
        <f>O33</f>
        <v>2406700</v>
      </c>
      <c r="P35" s="103">
        <f>P33+P34</f>
        <v>387500</v>
      </c>
      <c r="Q35" s="103">
        <f>Q33+Q34</f>
        <v>150000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</f>
        <v>226250</v>
      </c>
      <c r="D36" s="264">
        <f>(D35/D10*D11-SUM(C36))</f>
        <v>12500</v>
      </c>
      <c r="E36" s="264">
        <f>(E35/E10*E11-SUM(C36:D36))</f>
        <v>155475</v>
      </c>
      <c r="F36" s="264">
        <f>(F35/F10*F11-SUM(C36:E36))</f>
        <v>12491.666666666686</v>
      </c>
      <c r="G36" s="264">
        <f>(G35/G10*G11-SUM(C36:F36))</f>
        <v>131241.66666666669</v>
      </c>
      <c r="H36" s="264">
        <f>(H35/H10*H11-SUM(C36:G36))</f>
        <v>250016.66666666663</v>
      </c>
      <c r="I36" s="264">
        <f>(I35/I10*I11-SUM(C36:H36))</f>
        <v>131241.66666666663</v>
      </c>
      <c r="J36" s="264">
        <f>(J35/J10*J11-SUM(C36:I36))</f>
        <v>249983.33333333337</v>
      </c>
      <c r="K36" s="264">
        <f>(K35/K10*K11-SUM(C36:J36))</f>
        <v>250025</v>
      </c>
      <c r="L36" s="264">
        <f>(L35/L10*L11-SUM(C36:K36))</f>
        <v>249983.33333333349</v>
      </c>
      <c r="M36" s="264">
        <f>(M35/M10*M11-SUM(C36:L36))</f>
        <v>250016.66666666651</v>
      </c>
      <c r="N36" s="264">
        <f>(N35/N10*N11-SUM(C36:M36))</f>
        <v>249975</v>
      </c>
      <c r="O36" s="259">
        <f>SUM(C36:N36)+P37</f>
        <v>2406700</v>
      </c>
      <c r="P36" s="108">
        <f>P35/12</f>
        <v>32291.666666666668</v>
      </c>
      <c r="Q36" s="108">
        <f>Q35/12</f>
        <v>12500</v>
      </c>
    </row>
    <row r="37" spans="1:22" s="60" customFormat="1" ht="20.100000000000001" customHeight="1" x14ac:dyDescent="0.25">
      <c r="A37" s="57"/>
      <c r="B37" s="58" t="s">
        <v>81</v>
      </c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9" t="s">
        <v>82</v>
      </c>
      <c r="P37" s="129">
        <f>P35-Q35</f>
        <v>237500</v>
      </c>
      <c r="Q37" s="110">
        <v>0</v>
      </c>
    </row>
    <row r="38" spans="1:22" x14ac:dyDescent="0.25">
      <c r="A38" s="47"/>
      <c r="B38" s="31" t="s">
        <v>33</v>
      </c>
      <c r="C38" s="99"/>
      <c r="D38" s="99"/>
      <c r="E38" s="99"/>
      <c r="F38" s="99"/>
      <c r="G38" s="99"/>
      <c r="H38" s="99"/>
      <c r="I38" s="99"/>
      <c r="J38" s="99"/>
      <c r="K38" s="102"/>
      <c r="L38" s="102"/>
      <c r="M38" s="102"/>
      <c r="N38" s="111"/>
      <c r="O38" s="112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99"/>
      <c r="D39" s="99"/>
      <c r="E39" s="99"/>
      <c r="F39" s="99"/>
      <c r="G39" s="99"/>
      <c r="H39" s="99"/>
      <c r="I39" s="99"/>
      <c r="J39" s="99"/>
      <c r="K39" s="102"/>
      <c r="L39" s="102"/>
      <c r="M39" s="102"/>
      <c r="N39" s="111"/>
      <c r="O39" s="112"/>
      <c r="P39" s="132">
        <f>P37+Q36-P38</f>
        <v>250000</v>
      </c>
      <c r="Q39" s="110"/>
    </row>
    <row r="40" spans="1:22" ht="20.100000000000001" customHeight="1" x14ac:dyDescent="0.25">
      <c r="A40" s="47"/>
      <c r="B40" s="31" t="s">
        <v>76</v>
      </c>
      <c r="C40" s="99"/>
      <c r="D40" s="99"/>
      <c r="E40" s="99"/>
      <c r="F40" s="99"/>
      <c r="G40" s="99"/>
      <c r="H40" s="99"/>
      <c r="I40" s="99"/>
      <c r="J40" s="99"/>
      <c r="K40" s="102"/>
      <c r="L40" s="102"/>
      <c r="M40" s="102"/>
      <c r="N40" s="111"/>
      <c r="O40" s="112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113">
        <f t="shared" ref="C41:J41" si="12">C21-C25-C36</f>
        <v>9273750</v>
      </c>
      <c r="D41" s="113">
        <f t="shared" si="12"/>
        <v>4987500</v>
      </c>
      <c r="E41" s="113">
        <f t="shared" si="12"/>
        <v>7854525</v>
      </c>
      <c r="F41" s="113">
        <f t="shared" si="12"/>
        <v>4987508.333333333</v>
      </c>
      <c r="G41" s="113">
        <f t="shared" si="12"/>
        <v>7368758.333333333</v>
      </c>
      <c r="H41" s="113">
        <f t="shared" si="12"/>
        <v>9749983.333333334</v>
      </c>
      <c r="I41" s="113">
        <f t="shared" si="12"/>
        <v>7368758.333333333</v>
      </c>
      <c r="J41" s="113">
        <f t="shared" si="12"/>
        <v>9750016.666666666</v>
      </c>
      <c r="K41" s="113">
        <f>K21-K25-K36</f>
        <v>9749975</v>
      </c>
      <c r="L41" s="113">
        <f>L21-L25-L36</f>
        <v>9750016.666666666</v>
      </c>
      <c r="M41" s="113">
        <f>M21-M25-M36</f>
        <v>9749983.333333334</v>
      </c>
      <c r="N41" s="113">
        <f>N21-N25-N36</f>
        <v>9750025</v>
      </c>
      <c r="O41" s="113">
        <f>O21-O25-O36-O38</f>
        <v>105103300</v>
      </c>
      <c r="P41" s="126">
        <f>P21-P25-P36</f>
        <v>64967708.333333336</v>
      </c>
      <c r="Q41" s="126">
        <f>Q21-Q25-Q36</f>
        <v>59987500</v>
      </c>
    </row>
    <row r="42" spans="1:22" x14ac:dyDescent="0.25">
      <c r="C42" s="18"/>
      <c r="D42" s="18"/>
      <c r="E42" s="18"/>
      <c r="F42" s="18"/>
      <c r="G42" s="18"/>
      <c r="H42" s="18"/>
      <c r="I42" s="18"/>
      <c r="J42" s="18"/>
      <c r="K42" s="18"/>
      <c r="O42" s="18"/>
      <c r="P42" s="114"/>
      <c r="Q42" s="114"/>
    </row>
    <row r="43" spans="1:22" s="62" customFormat="1" x14ac:dyDescent="0.25">
      <c r="D43" s="116"/>
      <c r="E43" s="116"/>
      <c r="F43" s="116"/>
      <c r="G43" s="116"/>
      <c r="H43" s="116"/>
      <c r="I43" s="116"/>
      <c r="J43" s="116"/>
      <c r="K43" s="116"/>
      <c r="L43" s="117"/>
      <c r="M43" s="117"/>
      <c r="N43" s="117"/>
      <c r="O43" s="116"/>
      <c r="P43" s="118"/>
      <c r="Q43" s="118"/>
    </row>
    <row r="44" spans="1:22" x14ac:dyDescent="0.25">
      <c r="C44" s="3"/>
    </row>
    <row r="45" spans="1:22" x14ac:dyDescent="0.25">
      <c r="C45" s="3"/>
    </row>
    <row r="46" spans="1:22" x14ac:dyDescent="0.25">
      <c r="C46" s="3"/>
    </row>
    <row r="47" spans="1:22" x14ac:dyDescent="0.25">
      <c r="B47" s="63" t="s">
        <v>65</v>
      </c>
      <c r="C47" s="115" t="s">
        <v>66</v>
      </c>
    </row>
    <row r="48" spans="1:22" x14ac:dyDescent="0.25">
      <c r="B48" s="8" t="s">
        <v>67</v>
      </c>
      <c r="C48" s="127">
        <v>54000000</v>
      </c>
    </row>
    <row r="49" spans="2:17" x14ac:dyDescent="0.25">
      <c r="B49" s="8" t="s">
        <v>93</v>
      </c>
      <c r="C49" s="127">
        <v>58500000</v>
      </c>
    </row>
    <row r="50" spans="2:17" x14ac:dyDescent="0.25">
      <c r="B50" s="8" t="s">
        <v>94</v>
      </c>
      <c r="C50" s="127">
        <v>63000000</v>
      </c>
    </row>
    <row r="51" spans="2:17" x14ac:dyDescent="0.25">
      <c r="B51" s="8" t="s">
        <v>95</v>
      </c>
      <c r="C51" s="127">
        <v>67500000</v>
      </c>
    </row>
    <row r="52" spans="2:17" x14ac:dyDescent="0.25">
      <c r="B52" s="8" t="s">
        <v>68</v>
      </c>
      <c r="C52" s="127">
        <v>58500000</v>
      </c>
    </row>
    <row r="53" spans="2:17" x14ac:dyDescent="0.25">
      <c r="B53" s="8" t="s">
        <v>69</v>
      </c>
      <c r="C53" s="127">
        <v>63000000</v>
      </c>
    </row>
    <row r="54" spans="2:17" x14ac:dyDescent="0.25">
      <c r="B54" s="8" t="s">
        <v>50</v>
      </c>
      <c r="C54" s="127">
        <v>67500000</v>
      </c>
    </row>
    <row r="55" spans="2:17" x14ac:dyDescent="0.25">
      <c r="B55" s="8" t="s">
        <v>64</v>
      </c>
      <c r="C55" s="127">
        <v>72000000</v>
      </c>
      <c r="P55" s="93"/>
      <c r="Q55" s="93"/>
    </row>
    <row r="56" spans="2:17" x14ac:dyDescent="0.25">
      <c r="B56" s="8" t="s">
        <v>96</v>
      </c>
      <c r="C56" s="127">
        <v>112500000</v>
      </c>
    </row>
    <row r="57" spans="2:17" x14ac:dyDescent="0.25">
      <c r="B57" s="8" t="s">
        <v>97</v>
      </c>
      <c r="C57" s="127">
        <v>117000000</v>
      </c>
    </row>
    <row r="58" spans="2:17" x14ac:dyDescent="0.25">
      <c r="B58" s="8" t="s">
        <v>98</v>
      </c>
      <c r="C58" s="127">
        <v>121500000</v>
      </c>
    </row>
    <row r="59" spans="2:17" x14ac:dyDescent="0.25">
      <c r="B59" s="8" t="s">
        <v>99</v>
      </c>
      <c r="C59" s="127">
        <v>126000000</v>
      </c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D14:N18 P13:Q13 P14:P18 C13:N13" xr:uid="{00000000-0002-0000-0300-000000000000}"/>
  </dataValidations>
  <pageMargins left="0.7" right="0.7" top="0.75" bottom="0.75" header="0.3" footer="0.3"/>
  <pageSetup paperSize="9" orientation="portrait" horizontalDpi="360" verticalDpi="36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62"/>
  <dimension ref="A1:V51"/>
  <sheetViews>
    <sheetView topLeftCell="B8" workbookViewId="0">
      <pane xSplit="1" ySplit="1" topLeftCell="C9" activePane="bottomRight" state="frozen"/>
      <selection activeCell="J32" sqref="J32"/>
      <selection pane="topRight" activeCell="J32" sqref="J32"/>
      <selection pane="bottomLeft" activeCell="J32" sqref="J32"/>
      <selection pane="bottomRight" activeCell="B20" sqref="B20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540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>
        <f>SUM(C9:N9)</f>
        <v>0</v>
      </c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>
        <f>SUM(C11:N11)</f>
        <v>0</v>
      </c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0</v>
      </c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>
        <f>SUM(O9:O14)</f>
        <v>0</v>
      </c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 t="shared" si="2"/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 t="shared" ref="D19:N19" si="3">IF(D17*5%&lt;500000,D17*5%,500000)</f>
        <v>0</v>
      </c>
      <c r="E19" s="37">
        <f t="shared" si="3"/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 t="shared" ref="C24:N24" si="5">C17-C22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54000000</v>
      </c>
      <c r="D27" s="53">
        <f>C27</f>
        <v>54000000</v>
      </c>
      <c r="E27" s="53">
        <f t="shared" ref="E27:M27" si="6">D27</f>
        <v>54000000</v>
      </c>
      <c r="F27" s="53">
        <f t="shared" si="6"/>
        <v>54000000</v>
      </c>
      <c r="G27" s="53">
        <f t="shared" si="6"/>
        <v>54000000</v>
      </c>
      <c r="H27" s="53">
        <f>G27</f>
        <v>54000000</v>
      </c>
      <c r="I27" s="53">
        <f t="shared" si="6"/>
        <v>54000000</v>
      </c>
      <c r="J27" s="53">
        <f t="shared" si="6"/>
        <v>54000000</v>
      </c>
      <c r="K27" s="53">
        <f t="shared" si="6"/>
        <v>54000000</v>
      </c>
      <c r="L27" s="53">
        <f t="shared" si="6"/>
        <v>54000000</v>
      </c>
      <c r="M27" s="53">
        <f t="shared" si="6"/>
        <v>54000000</v>
      </c>
      <c r="N27" s="53">
        <f>M27</f>
        <v>54000000</v>
      </c>
      <c r="O27" s="53">
        <f>N27</f>
        <v>54000000</v>
      </c>
      <c r="P27" s="103">
        <f>O27</f>
        <v>54000000</v>
      </c>
      <c r="Q27" s="103">
        <f>P27</f>
        <v>54000000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f>P31/12</f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9:Q14 D10:N14 C9:N9" xr:uid="{00000000-0002-0000-2700-000000000000}"/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63"/>
  <dimension ref="A1:V51"/>
  <sheetViews>
    <sheetView topLeftCell="B8" workbookViewId="0">
      <pane xSplit="1" ySplit="1" topLeftCell="C9" activePane="bottomRight" state="frozen"/>
      <selection activeCell="J32" sqref="J32"/>
      <selection pane="topRight" activeCell="J32" sqref="J32"/>
      <selection pane="bottomLeft" activeCell="J32" sqref="J32"/>
      <selection pane="bottomRight" activeCell="G33" sqref="G3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556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/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/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/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/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 t="shared" si="2"/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 t="shared" ref="D19:N19" si="3">IF(D17*5%&lt;500000,D17*5%,500000)</f>
        <v>0</v>
      </c>
      <c r="E19" s="37">
        <f t="shared" si="3"/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 t="shared" ref="C24:N24" si="5">C17-C22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72000000</v>
      </c>
      <c r="D27" s="53">
        <f>C27</f>
        <v>72000000</v>
      </c>
      <c r="E27" s="53">
        <f t="shared" ref="E27:M27" si="6">D27</f>
        <v>72000000</v>
      </c>
      <c r="F27" s="53">
        <f t="shared" si="6"/>
        <v>72000000</v>
      </c>
      <c r="G27" s="53">
        <f t="shared" si="6"/>
        <v>72000000</v>
      </c>
      <c r="H27" s="53">
        <f>G27</f>
        <v>72000000</v>
      </c>
      <c r="I27" s="53">
        <f t="shared" si="6"/>
        <v>72000000</v>
      </c>
      <c r="J27" s="53">
        <f t="shared" si="6"/>
        <v>72000000</v>
      </c>
      <c r="K27" s="53">
        <f t="shared" si="6"/>
        <v>72000000</v>
      </c>
      <c r="L27" s="53">
        <f t="shared" si="6"/>
        <v>72000000</v>
      </c>
      <c r="M27" s="53">
        <f t="shared" si="6"/>
        <v>72000000</v>
      </c>
      <c r="N27" s="53">
        <f>M27</f>
        <v>72000000</v>
      </c>
      <c r="O27" s="53">
        <f>N27</f>
        <v>72000000</v>
      </c>
      <c r="P27" s="103">
        <f>O27</f>
        <v>72000000</v>
      </c>
      <c r="Q27" s="103">
        <f>P27</f>
        <v>72000000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f>P31/12</f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9:Q14 D10:N14 C9:N9" xr:uid="{00000000-0002-0000-2800-000000000000}"/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1"/>
  <dimension ref="A1:V51"/>
  <sheetViews>
    <sheetView topLeftCell="A8" workbookViewId="0">
      <pane xSplit="2" ySplit="1" topLeftCell="C9" activePane="bottomRight" state="frozen"/>
      <selection activeCell="J32" sqref="J32"/>
      <selection pane="topRight" activeCell="J32" sqref="J32"/>
      <selection pane="bottomLeft" activeCell="J32" sqref="J32"/>
      <selection pane="bottomRight" activeCell="F32" sqref="F32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437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>
        <f>SUM(C9:N9)</f>
        <v>0</v>
      </c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>
        <f>SUM(C11:N11)</f>
        <v>0</v>
      </c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0</v>
      </c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>
        <f>SUM(O9:O14)</f>
        <v>0</v>
      </c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 t="shared" si="2"/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 t="shared" ref="D19:N19" si="3">IF(D17*5%&lt;500000,D17*5%,500000)</f>
        <v>0</v>
      </c>
      <c r="E19" s="37">
        <f t="shared" si="3"/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 t="shared" ref="C24:N24" si="5">C17-C22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72000000</v>
      </c>
      <c r="D27" s="53">
        <f>C27</f>
        <v>72000000</v>
      </c>
      <c r="E27" s="53">
        <f t="shared" ref="E27:M27" si="6">D27</f>
        <v>72000000</v>
      </c>
      <c r="F27" s="53">
        <f t="shared" si="6"/>
        <v>72000000</v>
      </c>
      <c r="G27" s="53">
        <f t="shared" si="6"/>
        <v>72000000</v>
      </c>
      <c r="H27" s="53">
        <f>G27</f>
        <v>72000000</v>
      </c>
      <c r="I27" s="53">
        <f t="shared" si="6"/>
        <v>72000000</v>
      </c>
      <c r="J27" s="53">
        <f t="shared" si="6"/>
        <v>72000000</v>
      </c>
      <c r="K27" s="53">
        <f t="shared" si="6"/>
        <v>72000000</v>
      </c>
      <c r="L27" s="53">
        <f t="shared" si="6"/>
        <v>72000000</v>
      </c>
      <c r="M27" s="53">
        <f t="shared" si="6"/>
        <v>72000000</v>
      </c>
      <c r="N27" s="53">
        <f>M27</f>
        <v>72000000</v>
      </c>
      <c r="O27" s="53">
        <f>N27</f>
        <v>72000000</v>
      </c>
      <c r="P27" s="103">
        <f>O27</f>
        <v>72000000</v>
      </c>
      <c r="Q27" s="103">
        <f>P27</f>
        <v>72000000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(G31/12*5*120%-SUM(C32:F32))+P33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f>P31/12</f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9:Q14 D10:N14 C9:N9" xr:uid="{00000000-0002-0000-2900-000000000000}"/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5"/>
  <dimension ref="A1:V59"/>
  <sheetViews>
    <sheetView topLeftCell="F1" zoomScale="66" zoomScaleNormal="100" workbookViewId="0">
      <selection activeCell="O23" sqref="O2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93" bestFit="1" customWidth="1"/>
    <col min="6" max="6" width="14.28515625" style="93" customWidth="1"/>
    <col min="7" max="7" width="16.42578125" style="93" customWidth="1"/>
    <col min="8" max="8" width="14.140625" style="93" customWidth="1"/>
    <col min="9" max="13" width="13.42578125" style="93" bestFit="1" customWidth="1"/>
    <col min="14" max="14" width="14.7109375" style="93" customWidth="1"/>
    <col min="15" max="15" width="14" style="9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526</v>
      </c>
      <c r="C1" s="18"/>
      <c r="D1" s="18"/>
      <c r="E1" s="18"/>
      <c r="F1" s="18"/>
      <c r="G1" s="18"/>
      <c r="H1" s="18"/>
      <c r="I1" s="18"/>
      <c r="J1" s="18"/>
      <c r="K1" s="18"/>
      <c r="O1" s="18"/>
      <c r="P1" s="94"/>
      <c r="Q1" s="94"/>
    </row>
    <row r="2" spans="1:17" x14ac:dyDescent="0.25">
      <c r="A2" s="6" t="s">
        <v>38</v>
      </c>
      <c r="B2" s="4"/>
      <c r="C2" s="18"/>
      <c r="D2" s="18"/>
      <c r="E2" s="18"/>
      <c r="F2" s="18"/>
      <c r="G2" s="18"/>
      <c r="H2" s="18"/>
      <c r="I2" s="18"/>
      <c r="J2" s="18"/>
      <c r="K2" s="18"/>
      <c r="O2" s="18"/>
      <c r="P2" s="94"/>
      <c r="Q2" s="94"/>
    </row>
    <row r="3" spans="1:17" x14ac:dyDescent="0.25">
      <c r="A3" s="6" t="s">
        <v>53</v>
      </c>
      <c r="B3" s="4" t="s">
        <v>64</v>
      </c>
      <c r="C3" s="18"/>
      <c r="D3" s="18"/>
      <c r="E3" s="18"/>
      <c r="F3" s="18"/>
      <c r="G3" s="18"/>
      <c r="H3" s="18"/>
      <c r="I3" s="18"/>
      <c r="J3" s="18"/>
      <c r="K3" s="18"/>
      <c r="O3" s="18"/>
      <c r="P3" s="94"/>
      <c r="Q3" s="94"/>
    </row>
    <row r="4" spans="1:17" x14ac:dyDescent="0.25">
      <c r="A4" s="5" t="s">
        <v>36</v>
      </c>
      <c r="B4" s="17"/>
      <c r="C4" s="18"/>
      <c r="D4" s="18"/>
      <c r="E4" s="18"/>
      <c r="F4" s="18"/>
      <c r="G4" s="18"/>
      <c r="H4" s="18"/>
      <c r="I4" s="18"/>
      <c r="J4" s="18"/>
      <c r="K4" s="18"/>
      <c r="O4" s="18"/>
      <c r="P4" s="94"/>
      <c r="Q4" s="94"/>
    </row>
    <row r="5" spans="1:17" x14ac:dyDescent="0.25">
      <c r="A5" s="6" t="s">
        <v>77</v>
      </c>
      <c r="B5" s="4"/>
      <c r="C5" s="18"/>
      <c r="D5" s="18"/>
      <c r="E5" s="18"/>
      <c r="F5" s="18"/>
      <c r="G5" s="18"/>
      <c r="H5" s="18"/>
      <c r="I5" s="18"/>
      <c r="J5" s="18"/>
      <c r="K5" s="18"/>
      <c r="O5" s="18"/>
      <c r="P5" s="94"/>
      <c r="Q5" s="94"/>
    </row>
    <row r="6" spans="1:17" x14ac:dyDescent="0.25">
      <c r="A6" s="6"/>
      <c r="B6" s="4"/>
      <c r="C6" s="18"/>
      <c r="D6" s="18"/>
      <c r="E6" s="18"/>
      <c r="F6" s="18"/>
      <c r="G6" s="18"/>
      <c r="H6" s="18"/>
      <c r="I6" s="18"/>
      <c r="J6" s="18"/>
      <c r="K6" s="18"/>
      <c r="O6" s="18"/>
      <c r="P6" s="94"/>
      <c r="Q6" s="94"/>
    </row>
    <row r="7" spans="1:17" x14ac:dyDescent="0.25">
      <c r="A7" s="6"/>
      <c r="B7" s="4"/>
      <c r="C7" s="18"/>
      <c r="D7" s="18"/>
      <c r="E7" s="18"/>
      <c r="F7" s="18"/>
      <c r="G7" s="18"/>
      <c r="H7" s="18"/>
      <c r="I7" s="18"/>
      <c r="J7" s="18"/>
      <c r="K7" s="18"/>
      <c r="O7" s="18"/>
      <c r="P7" s="94"/>
      <c r="Q7" s="94"/>
    </row>
    <row r="8" spans="1:17" x14ac:dyDescent="0.25">
      <c r="A8" s="6"/>
      <c r="B8" s="4"/>
      <c r="C8" s="18"/>
      <c r="D8" s="18"/>
      <c r="E8" s="18"/>
      <c r="F8" s="18"/>
      <c r="G8" s="18"/>
      <c r="H8" s="18"/>
      <c r="I8" s="18"/>
      <c r="J8" s="18"/>
      <c r="K8" s="18"/>
      <c r="O8" s="18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97" t="s">
        <v>39</v>
      </c>
      <c r="D12" s="97" t="s">
        <v>40</v>
      </c>
      <c r="E12" s="97" t="s">
        <v>41</v>
      </c>
      <c r="F12" s="97" t="s">
        <v>2</v>
      </c>
      <c r="G12" s="97" t="s">
        <v>42</v>
      </c>
      <c r="H12" s="97" t="s">
        <v>43</v>
      </c>
      <c r="I12" s="97" t="s">
        <v>44</v>
      </c>
      <c r="J12" s="97" t="s">
        <v>45</v>
      </c>
      <c r="K12" s="97" t="s">
        <v>46</v>
      </c>
      <c r="L12" s="97" t="s">
        <v>47</v>
      </c>
      <c r="M12" s="97" t="s">
        <v>48</v>
      </c>
      <c r="N12" s="97" t="s">
        <v>49</v>
      </c>
      <c r="O12" s="97" t="s">
        <v>427</v>
      </c>
      <c r="P12" s="122" t="s">
        <v>80</v>
      </c>
      <c r="Q12" s="122" t="s">
        <v>3</v>
      </c>
    </row>
    <row r="13" spans="1:17" ht="20.100000000000001" customHeight="1" x14ac:dyDescent="0.25">
      <c r="A13" s="30">
        <v>1</v>
      </c>
      <c r="B13" s="31" t="s">
        <v>9</v>
      </c>
      <c r="C13" s="149">
        <v>5000000</v>
      </c>
      <c r="D13" s="98">
        <v>5000000</v>
      </c>
      <c r="E13" s="162">
        <v>5000000</v>
      </c>
      <c r="F13" s="98">
        <v>5000000</v>
      </c>
      <c r="G13" s="98">
        <v>5000000</v>
      </c>
      <c r="H13" s="98">
        <v>5000000</v>
      </c>
      <c r="I13" s="98">
        <v>5000000</v>
      </c>
      <c r="J13" s="98">
        <v>5000000</v>
      </c>
      <c r="K13" s="98">
        <v>5000000</v>
      </c>
      <c r="L13" s="98">
        <v>5000000</v>
      </c>
      <c r="M13" s="98">
        <v>5000000</v>
      </c>
      <c r="N13" s="98">
        <v>5000000</v>
      </c>
      <c r="O13" s="98">
        <f>SUM(C13:N13)</f>
        <v>60000000</v>
      </c>
      <c r="P13" s="123">
        <f t="shared" ref="P13:P18" si="1">Q13</f>
        <v>60000000</v>
      </c>
      <c r="Q13" s="123">
        <f>F13*12</f>
        <v>60000000</v>
      </c>
    </row>
    <row r="14" spans="1:17" ht="20.100000000000001" customHeight="1" x14ac:dyDescent="0.25">
      <c r="A14" s="30">
        <v>2</v>
      </c>
      <c r="B14" s="31" t="s">
        <v>10</v>
      </c>
      <c r="C14" s="99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99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99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99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99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124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100">
        <f t="shared" ref="C19:N19" si="3">SUM(C13:C18)</f>
        <v>5000000</v>
      </c>
      <c r="D19" s="100">
        <f t="shared" si="3"/>
        <v>5000000</v>
      </c>
      <c r="E19" s="100">
        <f t="shared" si="3"/>
        <v>5000000</v>
      </c>
      <c r="F19" s="100">
        <f t="shared" si="3"/>
        <v>5000000</v>
      </c>
      <c r="G19" s="100">
        <f t="shared" si="3"/>
        <v>5000000</v>
      </c>
      <c r="H19" s="100">
        <f t="shared" si="3"/>
        <v>5000000</v>
      </c>
      <c r="I19" s="100">
        <f t="shared" si="3"/>
        <v>5000000</v>
      </c>
      <c r="J19" s="100">
        <f t="shared" si="3"/>
        <v>5000000</v>
      </c>
      <c r="K19" s="100">
        <f t="shared" si="3"/>
        <v>5000000</v>
      </c>
      <c r="L19" s="100">
        <f t="shared" si="3"/>
        <v>5000000</v>
      </c>
      <c r="M19" s="100">
        <f t="shared" si="3"/>
        <v>5000000</v>
      </c>
      <c r="N19" s="100">
        <f t="shared" si="3"/>
        <v>5000000</v>
      </c>
      <c r="O19" s="101">
        <f>SUM(O13:O18)</f>
        <v>60000000</v>
      </c>
      <c r="P19" s="103">
        <f>SUM(P13:P18)</f>
        <v>60000000</v>
      </c>
      <c r="Q19" s="103">
        <f>SUM(Q13:Q18)</f>
        <v>60000000</v>
      </c>
    </row>
    <row r="20" spans="1:22" ht="20.100000000000001" customHeight="1" x14ac:dyDescent="0.25">
      <c r="A20" s="30">
        <v>8</v>
      </c>
      <c r="B20" s="31" t="s">
        <v>16</v>
      </c>
      <c r="C20" s="99"/>
      <c r="D20" s="99"/>
      <c r="E20" s="99"/>
      <c r="F20" s="99"/>
      <c r="G20" s="99"/>
      <c r="H20" s="99"/>
      <c r="I20" s="99"/>
      <c r="J20" s="99"/>
      <c r="K20" s="102"/>
      <c r="L20" s="102"/>
      <c r="M20" s="102"/>
      <c r="N20" s="102"/>
      <c r="O20" s="98">
        <f>P20</f>
        <v>5000000</v>
      </c>
      <c r="P20" s="110">
        <v>5000000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5000000</v>
      </c>
      <c r="D21" s="259">
        <f t="shared" ref="D21:N21" si="4">D19+D20</f>
        <v>5000000</v>
      </c>
      <c r="E21" s="259">
        <f t="shared" si="4"/>
        <v>5000000</v>
      </c>
      <c r="F21" s="259">
        <f t="shared" si="4"/>
        <v>5000000</v>
      </c>
      <c r="G21" s="259">
        <f>G19+G20</f>
        <v>5000000</v>
      </c>
      <c r="H21" s="259">
        <f t="shared" si="4"/>
        <v>5000000</v>
      </c>
      <c r="I21" s="259">
        <f t="shared" si="4"/>
        <v>5000000</v>
      </c>
      <c r="J21" s="259">
        <f t="shared" si="4"/>
        <v>5000000</v>
      </c>
      <c r="K21" s="259">
        <f t="shared" si="4"/>
        <v>5000000</v>
      </c>
      <c r="L21" s="259">
        <f t="shared" si="4"/>
        <v>5000000</v>
      </c>
      <c r="M21" s="259">
        <f t="shared" si="4"/>
        <v>5000000</v>
      </c>
      <c r="N21" s="259">
        <f t="shared" si="4"/>
        <v>5000000</v>
      </c>
      <c r="O21" s="259">
        <f>O19+O20</f>
        <v>65000000</v>
      </c>
      <c r="P21" s="103">
        <f>P19+P20</f>
        <v>65000000</v>
      </c>
      <c r="Q21" s="103">
        <f>Q19+Q20</f>
        <v>60000000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250000</v>
      </c>
      <c r="D23" s="257">
        <f t="shared" ref="D23:N23" si="5">IF(D21*5%&lt;500000,D21*5%,500000)</f>
        <v>250000</v>
      </c>
      <c r="E23" s="257">
        <f t="shared" si="5"/>
        <v>250000</v>
      </c>
      <c r="F23" s="257">
        <f t="shared" si="5"/>
        <v>250000</v>
      </c>
      <c r="G23" s="257">
        <f>IF(G21*5%&lt;500000,G21*5%,500000)</f>
        <v>250000</v>
      </c>
      <c r="H23" s="257">
        <f t="shared" si="5"/>
        <v>250000</v>
      </c>
      <c r="I23" s="257">
        <f t="shared" si="5"/>
        <v>250000</v>
      </c>
      <c r="J23" s="257">
        <f t="shared" si="5"/>
        <v>250000</v>
      </c>
      <c r="K23" s="257">
        <f t="shared" si="5"/>
        <v>250000</v>
      </c>
      <c r="L23" s="257">
        <f t="shared" si="5"/>
        <v>250000</v>
      </c>
      <c r="M23" s="257">
        <f t="shared" si="5"/>
        <v>250000</v>
      </c>
      <c r="N23" s="257">
        <f t="shared" si="5"/>
        <v>250000</v>
      </c>
      <c r="O23" s="99">
        <f>IF(O21*5%&lt;6000000,O21*5%,6000000)</f>
        <v>3250000</v>
      </c>
      <c r="P23" s="110">
        <f>IF(P21*5%&lt;6000000,P21*5%,6000000)</f>
        <v>3250000</v>
      </c>
      <c r="Q23" s="110">
        <f>IF(Q21*5%&lt;6000000,Q21*5%,6000000)</f>
        <v>3000000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250000</v>
      </c>
      <c r="D26" s="257">
        <f t="shared" si="6"/>
        <v>250000</v>
      </c>
      <c r="E26" s="257">
        <f t="shared" si="6"/>
        <v>250000</v>
      </c>
      <c r="F26" s="257">
        <f t="shared" si="6"/>
        <v>250000</v>
      </c>
      <c r="G26" s="257">
        <f>SUM(G23:G25)</f>
        <v>250000</v>
      </c>
      <c r="H26" s="257">
        <f t="shared" si="6"/>
        <v>250000</v>
      </c>
      <c r="I26" s="257">
        <f t="shared" si="6"/>
        <v>250000</v>
      </c>
      <c r="J26" s="257">
        <f t="shared" si="6"/>
        <v>250000</v>
      </c>
      <c r="K26" s="257">
        <f t="shared" si="6"/>
        <v>250000</v>
      </c>
      <c r="L26" s="257">
        <f t="shared" si="6"/>
        <v>250000</v>
      </c>
      <c r="M26" s="257">
        <f t="shared" si="6"/>
        <v>250000</v>
      </c>
      <c r="N26" s="257">
        <f t="shared" si="6"/>
        <v>250000</v>
      </c>
      <c r="O26" s="263">
        <f>SUM(O22:O25)</f>
        <v>3250000</v>
      </c>
      <c r="P26" s="103">
        <f>SUM(P23:P25)</f>
        <v>3250000</v>
      </c>
      <c r="Q26" s="103">
        <f>SUM(Q23:Q25)</f>
        <v>3000000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4750000</v>
      </c>
      <c r="D28" s="255">
        <f t="shared" ref="D28:O28" si="7">D21-D26</f>
        <v>4750000</v>
      </c>
      <c r="E28" s="255">
        <f t="shared" si="7"/>
        <v>4750000</v>
      </c>
      <c r="F28" s="255">
        <f t="shared" si="7"/>
        <v>4750000</v>
      </c>
      <c r="G28" s="255">
        <f>G21-G26</f>
        <v>4750000</v>
      </c>
      <c r="H28" s="255">
        <f t="shared" si="7"/>
        <v>4750000</v>
      </c>
      <c r="I28" s="255">
        <f t="shared" si="7"/>
        <v>4750000</v>
      </c>
      <c r="J28" s="255">
        <f t="shared" si="7"/>
        <v>4750000</v>
      </c>
      <c r="K28" s="255">
        <f t="shared" si="7"/>
        <v>4750000</v>
      </c>
      <c r="L28" s="255">
        <f t="shared" si="7"/>
        <v>4750000</v>
      </c>
      <c r="M28" s="255">
        <f t="shared" si="7"/>
        <v>4750000</v>
      </c>
      <c r="N28" s="255">
        <f t="shared" si="7"/>
        <v>4750000</v>
      </c>
      <c r="O28" s="255">
        <f t="shared" si="7"/>
        <v>61750000</v>
      </c>
      <c r="P28" s="103">
        <f>P21-P26</f>
        <v>61750000</v>
      </c>
      <c r="Q28" s="103">
        <f>Q21-Q26</f>
        <v>57000000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57000000</v>
      </c>
      <c r="D30" s="253">
        <f>SUM(C28:D28)*D10/D11</f>
        <v>57000000</v>
      </c>
      <c r="E30" s="253">
        <f>SUM(C28:E28)*E10/E11</f>
        <v>57000000</v>
      </c>
      <c r="F30" s="253">
        <f>SUM(C28:F28)*F10/F11</f>
        <v>57000000</v>
      </c>
      <c r="G30" s="253">
        <f>SUM(C28:G28)*G10/G11</f>
        <v>57000000</v>
      </c>
      <c r="H30" s="253">
        <f>SUM(C28:H28)*H10/H11</f>
        <v>57000000</v>
      </c>
      <c r="I30" s="253">
        <f>SUM(C28:I28)*I10/I11</f>
        <v>57000000</v>
      </c>
      <c r="J30" s="253">
        <f>SUM(C28:J28)*J10/J11</f>
        <v>57000000</v>
      </c>
      <c r="K30" s="253">
        <f>SUM(C28:K28)*K10/K11</f>
        <v>57000000</v>
      </c>
      <c r="L30" s="253">
        <f>SUM(C28:L28)*L10/L11</f>
        <v>57000000</v>
      </c>
      <c r="M30" s="253">
        <f>SUM(C28:M28)*M10/M11</f>
        <v>57000000</v>
      </c>
      <c r="N30" s="253">
        <f>SUM(C28:N28)*N10/N11</f>
        <v>57000000</v>
      </c>
      <c r="O30" s="254">
        <f>O28</f>
        <v>61750000</v>
      </c>
      <c r="P30" s="108">
        <f>P28</f>
        <v>61750000</v>
      </c>
      <c r="Q30" s="108">
        <f>Q28</f>
        <v>57000000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9" t="s">
        <v>82</v>
      </c>
      <c r="P37" s="129">
        <v>0</v>
      </c>
      <c r="Q37" s="110">
        <v>0</v>
      </c>
    </row>
    <row r="38" spans="1:22" x14ac:dyDescent="0.25">
      <c r="A38" s="47"/>
      <c r="B38" s="31" t="s">
        <v>33</v>
      </c>
      <c r="C38" s="99"/>
      <c r="D38" s="99"/>
      <c r="E38" s="99"/>
      <c r="F38" s="99"/>
      <c r="G38" s="99"/>
      <c r="H38" s="99"/>
      <c r="I38" s="99"/>
      <c r="J38" s="99"/>
      <c r="K38" s="102"/>
      <c r="L38" s="102"/>
      <c r="M38" s="102"/>
      <c r="N38" s="111"/>
      <c r="O38" s="112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99"/>
      <c r="D39" s="99"/>
      <c r="E39" s="99"/>
      <c r="F39" s="99"/>
      <c r="G39" s="99"/>
      <c r="H39" s="99"/>
      <c r="I39" s="99"/>
      <c r="J39" s="99"/>
      <c r="K39" s="102"/>
      <c r="L39" s="102"/>
      <c r="M39" s="102"/>
      <c r="N39" s="111"/>
      <c r="O39" s="112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99"/>
      <c r="D40" s="99"/>
      <c r="E40" s="99"/>
      <c r="F40" s="99"/>
      <c r="G40" s="99"/>
      <c r="H40" s="99"/>
      <c r="I40" s="99"/>
      <c r="J40" s="99"/>
      <c r="K40" s="102"/>
      <c r="L40" s="102"/>
      <c r="M40" s="102"/>
      <c r="N40" s="111"/>
      <c r="O40" s="112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113">
        <f t="shared" ref="C41:J41" si="14">C21-C25-C36</f>
        <v>5000000</v>
      </c>
      <c r="D41" s="113">
        <f t="shared" si="14"/>
        <v>5000000</v>
      </c>
      <c r="E41" s="113">
        <f t="shared" si="14"/>
        <v>5000000</v>
      </c>
      <c r="F41" s="113">
        <f t="shared" si="14"/>
        <v>5000000</v>
      </c>
      <c r="G41" s="113">
        <f t="shared" si="14"/>
        <v>5000000</v>
      </c>
      <c r="H41" s="113">
        <f t="shared" si="14"/>
        <v>5000000</v>
      </c>
      <c r="I41" s="113">
        <f t="shared" si="14"/>
        <v>5000000</v>
      </c>
      <c r="J41" s="113">
        <f t="shared" si="14"/>
        <v>5000000</v>
      </c>
      <c r="K41" s="113">
        <f>K21-K25-K36</f>
        <v>5000000</v>
      </c>
      <c r="L41" s="113">
        <f>L21-L25-L36</f>
        <v>5000000</v>
      </c>
      <c r="M41" s="113">
        <f>M21-M25-M36</f>
        <v>5000000</v>
      </c>
      <c r="N41" s="113">
        <f>N21-N25-N36</f>
        <v>5000000</v>
      </c>
      <c r="O41" s="113">
        <f>O21-O25-O36-O38</f>
        <v>65000000</v>
      </c>
      <c r="P41" s="126">
        <f>P21-P25-P36</f>
        <v>65000000</v>
      </c>
      <c r="Q41" s="126">
        <f>Q21-Q25-Q36</f>
        <v>60000000</v>
      </c>
    </row>
    <row r="42" spans="1:22" x14ac:dyDescent="0.25">
      <c r="C42" s="18"/>
      <c r="D42" s="18"/>
      <c r="E42" s="18"/>
      <c r="F42" s="18"/>
      <c r="G42" s="18"/>
      <c r="H42" s="18"/>
      <c r="I42" s="18"/>
      <c r="J42" s="18"/>
      <c r="K42" s="18"/>
      <c r="O42" s="18"/>
      <c r="P42" s="114"/>
      <c r="Q42" s="114"/>
    </row>
    <row r="43" spans="1:22" x14ac:dyDescent="0.25">
      <c r="C43" s="18"/>
      <c r="D43" s="18"/>
      <c r="E43" s="18"/>
      <c r="F43" s="18"/>
      <c r="G43" s="18"/>
      <c r="H43" s="18"/>
      <c r="I43" s="18"/>
      <c r="J43" s="18"/>
      <c r="K43" s="18"/>
      <c r="O43" s="18"/>
      <c r="P43" s="114"/>
      <c r="Q43" s="114"/>
    </row>
    <row r="44" spans="1:22" x14ac:dyDescent="0.25">
      <c r="C44" s="18"/>
      <c r="D44" s="18"/>
      <c r="E44" s="18"/>
      <c r="F44" s="18"/>
      <c r="G44" s="18"/>
      <c r="H44" s="18"/>
      <c r="I44" s="18"/>
      <c r="J44" s="18"/>
      <c r="K44" s="18"/>
      <c r="O44" s="18"/>
      <c r="P44" s="114"/>
      <c r="Q44" s="114"/>
    </row>
    <row r="45" spans="1:22" x14ac:dyDescent="0.25">
      <c r="C45" s="18"/>
      <c r="D45" s="18"/>
      <c r="E45" s="18"/>
      <c r="F45" s="18"/>
      <c r="G45" s="18"/>
      <c r="H45" s="18"/>
      <c r="I45" s="18"/>
      <c r="J45" s="18"/>
      <c r="K45" s="18"/>
      <c r="O45" s="18"/>
      <c r="P45" s="114"/>
      <c r="Q45" s="114"/>
    </row>
    <row r="46" spans="1:22" x14ac:dyDescent="0.25">
      <c r="C46" s="18"/>
      <c r="D46" s="18"/>
      <c r="E46" s="18"/>
      <c r="F46" s="18"/>
      <c r="G46" s="18"/>
      <c r="H46" s="18"/>
      <c r="I46" s="18"/>
      <c r="J46" s="18"/>
      <c r="K46" s="18"/>
      <c r="O46" s="18"/>
      <c r="P46" s="114"/>
      <c r="Q46" s="114"/>
    </row>
    <row r="47" spans="1:22" s="62" customFormat="1" x14ac:dyDescent="0.25">
      <c r="B47" s="63" t="s">
        <v>65</v>
      </c>
      <c r="C47" s="115" t="s">
        <v>66</v>
      </c>
      <c r="D47" s="116"/>
      <c r="E47" s="116"/>
      <c r="F47" s="116"/>
      <c r="G47" s="116"/>
      <c r="H47" s="116"/>
      <c r="I47" s="116"/>
      <c r="J47" s="116"/>
      <c r="K47" s="116"/>
      <c r="L47" s="117"/>
      <c r="M47" s="117"/>
      <c r="N47" s="117"/>
      <c r="O47" s="116"/>
      <c r="P47" s="118"/>
      <c r="Q47" s="118"/>
    </row>
    <row r="48" spans="1:22" x14ac:dyDescent="0.25">
      <c r="B48" s="8" t="s">
        <v>67</v>
      </c>
      <c r="C48" s="127">
        <v>54000000</v>
      </c>
    </row>
    <row r="49" spans="2:17" x14ac:dyDescent="0.25">
      <c r="B49" s="8" t="s">
        <v>93</v>
      </c>
      <c r="C49" s="127">
        <v>58500000</v>
      </c>
    </row>
    <row r="50" spans="2:17" x14ac:dyDescent="0.25">
      <c r="B50" s="8" t="s">
        <v>94</v>
      </c>
      <c r="C50" s="127">
        <v>63000000</v>
      </c>
    </row>
    <row r="51" spans="2:17" x14ac:dyDescent="0.25">
      <c r="B51" s="8" t="s">
        <v>95</v>
      </c>
      <c r="C51" s="127">
        <v>67500000</v>
      </c>
    </row>
    <row r="52" spans="2:17" x14ac:dyDescent="0.25">
      <c r="B52" s="8" t="s">
        <v>68</v>
      </c>
      <c r="C52" s="127">
        <v>58500000</v>
      </c>
    </row>
    <row r="53" spans="2:17" x14ac:dyDescent="0.25">
      <c r="B53" s="8" t="s">
        <v>69</v>
      </c>
      <c r="C53" s="127">
        <v>63000000</v>
      </c>
    </row>
    <row r="54" spans="2:17" x14ac:dyDescent="0.25">
      <c r="B54" s="8" t="s">
        <v>50</v>
      </c>
      <c r="C54" s="127">
        <v>67500000</v>
      </c>
    </row>
    <row r="55" spans="2:17" x14ac:dyDescent="0.25">
      <c r="B55" s="8" t="s">
        <v>64</v>
      </c>
      <c r="C55" s="127">
        <v>72000000</v>
      </c>
    </row>
    <row r="56" spans="2:17" x14ac:dyDescent="0.25">
      <c r="B56" s="8" t="s">
        <v>96</v>
      </c>
      <c r="C56" s="127">
        <v>112500000</v>
      </c>
    </row>
    <row r="57" spans="2:17" x14ac:dyDescent="0.25">
      <c r="B57" s="8" t="s">
        <v>97</v>
      </c>
      <c r="C57" s="127">
        <v>117000000</v>
      </c>
    </row>
    <row r="58" spans="2:17" x14ac:dyDescent="0.25">
      <c r="B58" s="8" t="s">
        <v>98</v>
      </c>
      <c r="C58" s="127">
        <v>121500000</v>
      </c>
    </row>
    <row r="59" spans="2:17" x14ac:dyDescent="0.25">
      <c r="B59" s="8" t="s">
        <v>99</v>
      </c>
      <c r="C59" s="127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D14:N18 P13:Q18 C13:N13" xr:uid="{00000000-0002-0000-2A00-000000000000}"/>
  </dataValidations>
  <pageMargins left="0.7" right="0.7" top="0.75" bottom="0.75" header="0.3" footer="0.3"/>
  <pageSetup paperSize="9" orientation="portrait" horizontalDpi="360" verticalDpi="36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9"/>
  <dimension ref="A1:V59"/>
  <sheetViews>
    <sheetView topLeftCell="D1" zoomScale="66" workbookViewId="0">
      <selection activeCell="O35" sqref="O35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429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5000000</v>
      </c>
      <c r="D13" s="92">
        <v>5000000</v>
      </c>
      <c r="E13" s="162">
        <v>5000000</v>
      </c>
      <c r="F13" s="92">
        <v>5000000</v>
      </c>
      <c r="G13" s="92">
        <v>5000000</v>
      </c>
      <c r="H13" s="92">
        <v>5000000</v>
      </c>
      <c r="I13" s="92">
        <v>5000000</v>
      </c>
      <c r="J13" s="92">
        <v>5000000</v>
      </c>
      <c r="K13" s="92">
        <v>5000000</v>
      </c>
      <c r="L13" s="92">
        <v>5000000</v>
      </c>
      <c r="M13" s="92">
        <v>5000000</v>
      </c>
      <c r="N13" s="92">
        <v>5000000</v>
      </c>
      <c r="O13" s="32">
        <f>SUM(C13:N13)</f>
        <v>60000000</v>
      </c>
      <c r="P13" s="123">
        <f t="shared" ref="P13:P18" si="1">Q13</f>
        <v>60000000</v>
      </c>
      <c r="Q13" s="123">
        <f>F13*12</f>
        <v>60000000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>
        <v>400000</v>
      </c>
      <c r="E16" s="162">
        <v>2000000</v>
      </c>
      <c r="F16" s="92"/>
      <c r="G16" s="92"/>
      <c r="H16" s="92"/>
      <c r="I16" s="92"/>
      <c r="J16" s="92"/>
      <c r="K16" s="92">
        <v>7985000</v>
      </c>
      <c r="L16" s="92">
        <v>625000</v>
      </c>
      <c r="M16" s="92"/>
      <c r="N16" s="92"/>
      <c r="O16" s="32">
        <f>SUM(C16:N16)</f>
        <v>11010000</v>
      </c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5000000</v>
      </c>
      <c r="D19" s="37">
        <f t="shared" si="3"/>
        <v>5400000</v>
      </c>
      <c r="E19" s="37">
        <f t="shared" si="3"/>
        <v>7000000</v>
      </c>
      <c r="F19" s="37">
        <f t="shared" si="3"/>
        <v>5000000</v>
      </c>
      <c r="G19" s="37">
        <f t="shared" si="3"/>
        <v>5000000</v>
      </c>
      <c r="H19" s="37">
        <f t="shared" si="3"/>
        <v>5000000</v>
      </c>
      <c r="I19" s="37">
        <f t="shared" si="3"/>
        <v>5000000</v>
      </c>
      <c r="J19" s="37">
        <f t="shared" si="3"/>
        <v>5000000</v>
      </c>
      <c r="K19" s="37">
        <f t="shared" si="3"/>
        <v>12985000</v>
      </c>
      <c r="L19" s="37">
        <f t="shared" si="3"/>
        <v>5625000</v>
      </c>
      <c r="M19" s="37">
        <f t="shared" si="3"/>
        <v>5000000</v>
      </c>
      <c r="N19" s="37">
        <f t="shared" si="3"/>
        <v>5000000</v>
      </c>
      <c r="O19" s="38">
        <f>SUM(O13:O18)</f>
        <v>71010000</v>
      </c>
      <c r="P19" s="103">
        <f>SUM(P13:P18)</f>
        <v>60000000</v>
      </c>
      <c r="Q19" s="103">
        <f>SUM(Q13:Q18)</f>
        <v>60000000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5000000</v>
      </c>
      <c r="P20" s="110">
        <v>5000000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5000000</v>
      </c>
      <c r="D21" s="259">
        <f t="shared" ref="D21:N21" si="4">D19+D20</f>
        <v>5400000</v>
      </c>
      <c r="E21" s="259">
        <f t="shared" si="4"/>
        <v>7000000</v>
      </c>
      <c r="F21" s="259">
        <f t="shared" si="4"/>
        <v>5000000</v>
      </c>
      <c r="G21" s="259">
        <f>G19+G20</f>
        <v>5000000</v>
      </c>
      <c r="H21" s="259">
        <f t="shared" si="4"/>
        <v>5000000</v>
      </c>
      <c r="I21" s="259">
        <f t="shared" si="4"/>
        <v>5000000</v>
      </c>
      <c r="J21" s="259">
        <f t="shared" si="4"/>
        <v>5000000</v>
      </c>
      <c r="K21" s="259">
        <f t="shared" si="4"/>
        <v>12985000</v>
      </c>
      <c r="L21" s="259">
        <f t="shared" si="4"/>
        <v>5625000</v>
      </c>
      <c r="M21" s="259">
        <f t="shared" si="4"/>
        <v>5000000</v>
      </c>
      <c r="N21" s="259">
        <f t="shared" si="4"/>
        <v>5000000</v>
      </c>
      <c r="O21" s="259">
        <f>O19+O20</f>
        <v>76010000</v>
      </c>
      <c r="P21" s="103">
        <f>P19+P20</f>
        <v>65000000</v>
      </c>
      <c r="Q21" s="103">
        <f>Q19+Q20</f>
        <v>60000000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250000</v>
      </c>
      <c r="D23" s="257">
        <f t="shared" ref="D23:N23" si="5">IF(D21*5%&lt;500000,D21*5%,500000)</f>
        <v>270000</v>
      </c>
      <c r="E23" s="257">
        <f t="shared" si="5"/>
        <v>350000</v>
      </c>
      <c r="F23" s="257">
        <f t="shared" si="5"/>
        <v>250000</v>
      </c>
      <c r="G23" s="257">
        <f>IF(G21*5%&lt;500000,G21*5%,500000)</f>
        <v>250000</v>
      </c>
      <c r="H23" s="257">
        <f t="shared" si="5"/>
        <v>250000</v>
      </c>
      <c r="I23" s="257">
        <f t="shared" si="5"/>
        <v>250000</v>
      </c>
      <c r="J23" s="257">
        <f t="shared" si="5"/>
        <v>250000</v>
      </c>
      <c r="K23" s="257">
        <f t="shared" si="5"/>
        <v>500000</v>
      </c>
      <c r="L23" s="257">
        <f t="shared" si="5"/>
        <v>281250</v>
      </c>
      <c r="M23" s="257">
        <f t="shared" si="5"/>
        <v>250000</v>
      </c>
      <c r="N23" s="257">
        <f t="shared" si="5"/>
        <v>250000</v>
      </c>
      <c r="O23" s="99">
        <f>IF(O21*5%&lt;6000000,O21*5%,6000000)</f>
        <v>3800500</v>
      </c>
      <c r="P23" s="110">
        <f>IF(P21*5%&lt;6000000,P21*5%,6000000)</f>
        <v>3250000</v>
      </c>
      <c r="Q23" s="110">
        <f>IF(Q21*5%&lt;6000000,Q21*5%,6000000)</f>
        <v>3000000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250000</v>
      </c>
      <c r="D26" s="257">
        <f t="shared" si="6"/>
        <v>270000</v>
      </c>
      <c r="E26" s="257">
        <f t="shared" si="6"/>
        <v>350000</v>
      </c>
      <c r="F26" s="257">
        <f t="shared" si="6"/>
        <v>250000</v>
      </c>
      <c r="G26" s="257">
        <f>SUM(G23:G25)</f>
        <v>250000</v>
      </c>
      <c r="H26" s="257">
        <f t="shared" si="6"/>
        <v>250000</v>
      </c>
      <c r="I26" s="257">
        <f t="shared" si="6"/>
        <v>250000</v>
      </c>
      <c r="J26" s="257">
        <f t="shared" si="6"/>
        <v>250000</v>
      </c>
      <c r="K26" s="257">
        <f t="shared" si="6"/>
        <v>500000</v>
      </c>
      <c r="L26" s="257">
        <f t="shared" si="6"/>
        <v>281250</v>
      </c>
      <c r="M26" s="257">
        <f t="shared" si="6"/>
        <v>250000</v>
      </c>
      <c r="N26" s="257">
        <f t="shared" si="6"/>
        <v>250000</v>
      </c>
      <c r="O26" s="263">
        <f>SUM(O22:O25)</f>
        <v>3800500</v>
      </c>
      <c r="P26" s="103">
        <f>SUM(P23:P25)</f>
        <v>3250000</v>
      </c>
      <c r="Q26" s="103">
        <f>SUM(Q23:Q25)</f>
        <v>3000000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4750000</v>
      </c>
      <c r="D28" s="255">
        <f t="shared" ref="D28:O28" si="7">D21-D26</f>
        <v>5130000</v>
      </c>
      <c r="E28" s="255">
        <f t="shared" si="7"/>
        <v>6650000</v>
      </c>
      <c r="F28" s="255">
        <f t="shared" si="7"/>
        <v>4750000</v>
      </c>
      <c r="G28" s="255">
        <f>G21-G26</f>
        <v>4750000</v>
      </c>
      <c r="H28" s="255">
        <f t="shared" si="7"/>
        <v>4750000</v>
      </c>
      <c r="I28" s="255">
        <f t="shared" si="7"/>
        <v>4750000</v>
      </c>
      <c r="J28" s="255">
        <f t="shared" si="7"/>
        <v>4750000</v>
      </c>
      <c r="K28" s="255">
        <f t="shared" si="7"/>
        <v>12485000</v>
      </c>
      <c r="L28" s="255">
        <f t="shared" si="7"/>
        <v>5343750</v>
      </c>
      <c r="M28" s="255">
        <f t="shared" si="7"/>
        <v>4750000</v>
      </c>
      <c r="N28" s="255">
        <f t="shared" si="7"/>
        <v>4750000</v>
      </c>
      <c r="O28" s="255">
        <f t="shared" si="7"/>
        <v>72209500</v>
      </c>
      <c r="P28" s="103">
        <f>P21-P26</f>
        <v>61750000</v>
      </c>
      <c r="Q28" s="103">
        <f>Q21-Q26</f>
        <v>57000000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57000000</v>
      </c>
      <c r="D30" s="253">
        <f>SUM(C28:D28)*D10/D11</f>
        <v>59280000</v>
      </c>
      <c r="E30" s="253">
        <f>SUM(C28:E28)*E10/E11</f>
        <v>66120000</v>
      </c>
      <c r="F30" s="253">
        <f>SUM(C28:F28)*F10/F11</f>
        <v>63840000</v>
      </c>
      <c r="G30" s="253">
        <f>SUM(C28:G28)*G10/G11</f>
        <v>62472000</v>
      </c>
      <c r="H30" s="253">
        <f>SUM(C28:H28)*H10/H11</f>
        <v>61560000</v>
      </c>
      <c r="I30" s="253">
        <f>SUM(C28:I28)*I10/I11</f>
        <v>60908571.428571425</v>
      </c>
      <c r="J30" s="253">
        <f>SUM(C28:J28)*J10/J11</f>
        <v>60420000</v>
      </c>
      <c r="K30" s="253">
        <f>SUM(C28:K28)*K10/K11</f>
        <v>70353333.333333328</v>
      </c>
      <c r="L30" s="253">
        <f>SUM(C28:L28)*L10/L11</f>
        <v>69730500</v>
      </c>
      <c r="M30" s="253">
        <f>SUM(C28:M28)*M10/M11</f>
        <v>68573181.818181813</v>
      </c>
      <c r="N30" s="253">
        <f>SUM(C28:N28)*N10/N11</f>
        <v>67608750</v>
      </c>
      <c r="O30" s="254">
        <f>O28</f>
        <v>72209500</v>
      </c>
      <c r="P30" s="108">
        <f>P28</f>
        <v>61750000</v>
      </c>
      <c r="Q30" s="108">
        <f>Q28</f>
        <v>57000000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54000000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3000000</v>
      </c>
      <c r="D32" s="256">
        <f t="shared" ref="D32:O32" si="9">ROUNDDOWN(IF(D30&lt;=D31,0,IF(D30&gt;D31,D30-D31)),-3)</f>
        <v>5280000</v>
      </c>
      <c r="E32" s="256">
        <f t="shared" si="9"/>
        <v>12120000</v>
      </c>
      <c r="F32" s="256">
        <f t="shared" si="9"/>
        <v>9840000</v>
      </c>
      <c r="G32" s="256">
        <f t="shared" si="9"/>
        <v>8472000</v>
      </c>
      <c r="H32" s="256">
        <f t="shared" si="9"/>
        <v>7560000</v>
      </c>
      <c r="I32" s="256">
        <f>ROUNDDOWN(IF(I30&lt;=I31,0,IF(I30&gt;I31,I30-I31)),-3)</f>
        <v>6908000</v>
      </c>
      <c r="J32" s="256">
        <f t="shared" si="9"/>
        <v>6420000</v>
      </c>
      <c r="K32" s="256">
        <f t="shared" si="9"/>
        <v>16353000</v>
      </c>
      <c r="L32" s="256">
        <f t="shared" si="9"/>
        <v>15730000</v>
      </c>
      <c r="M32" s="256">
        <f t="shared" si="9"/>
        <v>14573000</v>
      </c>
      <c r="N32" s="256">
        <f t="shared" si="9"/>
        <v>13608000</v>
      </c>
      <c r="O32" s="256">
        <f t="shared" si="9"/>
        <v>18209000</v>
      </c>
      <c r="P32" s="103">
        <f t="shared" ref="D32:Q32" si="10">ROUNDDOWN(IF(P30&lt;=P31,0,IF(P30&gt;P31,P30-P31)),-3)</f>
        <v>7750000</v>
      </c>
      <c r="Q32" s="103">
        <f t="shared" si="10"/>
        <v>3000000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150000</v>
      </c>
      <c r="D33" s="257">
        <f t="shared" si="11"/>
        <v>264000</v>
      </c>
      <c r="E33" s="257">
        <f t="shared" si="11"/>
        <v>606000</v>
      </c>
      <c r="F33" s="257">
        <f t="shared" si="11"/>
        <v>492000</v>
      </c>
      <c r="G33" s="257">
        <f t="shared" si="11"/>
        <v>423600</v>
      </c>
      <c r="H33" s="257">
        <f t="shared" si="11"/>
        <v>378000</v>
      </c>
      <c r="I33" s="257">
        <f t="shared" si="11"/>
        <v>345400</v>
      </c>
      <c r="J33" s="257">
        <f t="shared" si="11"/>
        <v>321000</v>
      </c>
      <c r="K33" s="257">
        <f t="shared" si="11"/>
        <v>817650</v>
      </c>
      <c r="L33" s="257">
        <f t="shared" si="11"/>
        <v>786500</v>
      </c>
      <c r="M33" s="257">
        <f t="shared" si="11"/>
        <v>728650</v>
      </c>
      <c r="N33" s="257">
        <f t="shared" si="11"/>
        <v>680400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IF(O32&lt;0,0,IF(O32&lt;60000000,O32*5%,IF(O32&lt;250000000,(O32-60000000)*15%+3000000,IF(O32&lt;500000000,(O32-250000000)*25%+31500000,IF(O32&lt;5000000000,(O32-500000000)*30%+94000000,IF(O32&gt;5000000000,(O32-500000000)*35%+1444000000))))))*120%</f>
        <v>1092540</v>
      </c>
      <c r="P33" s="255">
        <f>IF(P32&lt;0,0,IF(P32&lt;60000000,P32*5%,IF(P32&lt;250000000,(P32-60000000)*15%+3000000,IF(P32&lt;500000000,(P32-250000000)*25%+31500000,IF(P32&lt;5000000000,(P32-500000000)*30%+94000000,IF(P32&gt;5000000000,(P32-500000000)*35%+1444000000))))))*120%</f>
        <v>465000</v>
      </c>
      <c r="Q33" s="255">
        <f>IF(Q32&lt;0,0,IF(Q32&lt;60000000,Q32*5%,IF(Q32&lt;250000000,(Q32-60000000)*15%+3000000,IF(Q32&lt;500000000,(Q32-250000000)*25%+31500000,IF(Q32&lt;5000000000,(Q32-500000000)*30%+94000000,IF(Q32&gt;5000000000,(Q32-500000000)*35%+1444000000))))))*120%</f>
        <v>180000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150000</v>
      </c>
      <c r="D35" s="255">
        <f t="shared" ref="D35:M35" si="12">D33-D34</f>
        <v>264000</v>
      </c>
      <c r="E35" s="255">
        <f t="shared" si="12"/>
        <v>606000</v>
      </c>
      <c r="F35" s="255">
        <f t="shared" si="12"/>
        <v>492000</v>
      </c>
      <c r="G35" s="255">
        <f t="shared" si="12"/>
        <v>423600</v>
      </c>
      <c r="H35" s="255">
        <f t="shared" si="12"/>
        <v>378000</v>
      </c>
      <c r="I35" s="255">
        <f t="shared" si="12"/>
        <v>345400</v>
      </c>
      <c r="J35" s="255">
        <f t="shared" si="12"/>
        <v>321000</v>
      </c>
      <c r="K35" s="255">
        <f t="shared" si="12"/>
        <v>817650</v>
      </c>
      <c r="L35" s="255">
        <f t="shared" si="12"/>
        <v>786500</v>
      </c>
      <c r="M35" s="255">
        <f t="shared" si="12"/>
        <v>728650</v>
      </c>
      <c r="N35" s="255">
        <f>N33-N34</f>
        <v>680400</v>
      </c>
      <c r="O35" s="255">
        <f>O33</f>
        <v>1092540</v>
      </c>
      <c r="P35" s="103">
        <f>P33+P34</f>
        <v>465000</v>
      </c>
      <c r="Q35" s="103">
        <f>Q33+Q34</f>
        <v>180000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15000</v>
      </c>
      <c r="D36" s="264">
        <f>(D35/D10*D11*120%)-SUM(C36)</f>
        <v>37800</v>
      </c>
      <c r="E36" s="264">
        <f>(E35/E10*E11*120%)-SUM(C36:D36)</f>
        <v>129000</v>
      </c>
      <c r="F36" s="264">
        <f>(F35/F10*F11*120%)-SUM(C36:E36)</f>
        <v>15000</v>
      </c>
      <c r="G36" s="264">
        <f>(G35/G10*G11*120%)-SUM(C36:F36)</f>
        <v>15000</v>
      </c>
      <c r="H36" s="264">
        <f>(H35/H10*H11*120%)-SUM(C36:G36)</f>
        <v>15000</v>
      </c>
      <c r="I36" s="264">
        <f>(I35/I10*I11*120%)-SUM(C36:H36)</f>
        <v>14979.999999999971</v>
      </c>
      <c r="J36" s="264">
        <f>(J35/J10*J11*120%)-SUM(C36:I36)</f>
        <v>15020.000000000029</v>
      </c>
      <c r="K36" s="264">
        <f>(K35/K10*K11*120%)-SUM(C36:J36)</f>
        <v>479085</v>
      </c>
      <c r="L36" s="264">
        <f>(L35/L10*L11*120%)-SUM(C36:K36)</f>
        <v>50615.000000000116</v>
      </c>
      <c r="M36" s="264">
        <f>(M35/M10*M11*120%)-SUM(C36:L36)</f>
        <v>15015</v>
      </c>
      <c r="N36" s="264">
        <f>O35-SUM(C36:M36)</f>
        <v>291024.99999999988</v>
      </c>
      <c r="O36" s="259">
        <f>SUM(C36:N36)</f>
        <v>1092540</v>
      </c>
      <c r="P36" s="108">
        <f>P35/12</f>
        <v>38750</v>
      </c>
      <c r="Q36" s="108">
        <f>Q35/12</f>
        <v>15000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285000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300000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3">C21-C25-C36</f>
        <v>4985000</v>
      </c>
      <c r="D41" s="50">
        <f t="shared" si="13"/>
        <v>5362200</v>
      </c>
      <c r="E41" s="50">
        <f t="shared" si="13"/>
        <v>6871000</v>
      </c>
      <c r="F41" s="50">
        <f t="shared" si="13"/>
        <v>4985000</v>
      </c>
      <c r="G41" s="50">
        <f t="shared" si="13"/>
        <v>4985000</v>
      </c>
      <c r="H41" s="50">
        <f t="shared" si="13"/>
        <v>4985000</v>
      </c>
      <c r="I41" s="50">
        <f t="shared" si="13"/>
        <v>4985020</v>
      </c>
      <c r="J41" s="50">
        <f t="shared" si="13"/>
        <v>4984980</v>
      </c>
      <c r="K41" s="50">
        <f>K21-K25-K36</f>
        <v>12505915</v>
      </c>
      <c r="L41" s="50">
        <f>L21-L25-L36</f>
        <v>5574385</v>
      </c>
      <c r="M41" s="50">
        <f>M21-M25-M36</f>
        <v>4984985</v>
      </c>
      <c r="N41" s="50">
        <f>N21-N25-N36</f>
        <v>4708975</v>
      </c>
      <c r="O41" s="50">
        <f>O21-O25-O36-O38</f>
        <v>74917460</v>
      </c>
      <c r="P41" s="126">
        <f>P21-P25-P36</f>
        <v>64961250</v>
      </c>
      <c r="Q41" s="126">
        <f>Q21-Q25-Q36</f>
        <v>59985000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2B00-000000000000}"/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2"/>
  <dimension ref="A1:V51"/>
  <sheetViews>
    <sheetView topLeftCell="A8" workbookViewId="0">
      <pane xSplit="2" ySplit="1" topLeftCell="C9" activePane="bottomRight" state="frozen"/>
      <selection activeCell="J32" sqref="J32"/>
      <selection pane="topRight" activeCell="J32" sqref="J32"/>
      <selection pane="bottomLeft" activeCell="J32" sqref="J32"/>
      <selection pane="bottomRight" activeCell="D11" sqref="D11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438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>
        <f>SUM(C9:N9)</f>
        <v>0</v>
      </c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>
        <f>SUM(C11:N11)</f>
        <v>0</v>
      </c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0</v>
      </c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>
        <f>SUM(O9:O14)</f>
        <v>0</v>
      </c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 t="shared" si="2"/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 t="shared" ref="D19:N19" si="3">IF(D17*5%&lt;500000,D17*5%,500000)</f>
        <v>0</v>
      </c>
      <c r="E19" s="37">
        <f t="shared" si="3"/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 t="shared" ref="C24:N24" si="5">C17-C22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54000000</v>
      </c>
      <c r="D27" s="53">
        <f>C27</f>
        <v>54000000</v>
      </c>
      <c r="E27" s="53">
        <f t="shared" ref="E27:M27" si="6">D27</f>
        <v>54000000</v>
      </c>
      <c r="F27" s="53">
        <f t="shared" si="6"/>
        <v>54000000</v>
      </c>
      <c r="G27" s="53">
        <f t="shared" si="6"/>
        <v>54000000</v>
      </c>
      <c r="H27" s="53">
        <f>G27</f>
        <v>54000000</v>
      </c>
      <c r="I27" s="53">
        <f t="shared" si="6"/>
        <v>54000000</v>
      </c>
      <c r="J27" s="53">
        <f t="shared" si="6"/>
        <v>54000000</v>
      </c>
      <c r="K27" s="53">
        <f t="shared" si="6"/>
        <v>54000000</v>
      </c>
      <c r="L27" s="53">
        <f t="shared" si="6"/>
        <v>54000000</v>
      </c>
      <c r="M27" s="53">
        <f t="shared" si="6"/>
        <v>54000000</v>
      </c>
      <c r="N27" s="53">
        <f>M27</f>
        <v>54000000</v>
      </c>
      <c r="O27" s="53">
        <f>N27</f>
        <v>54000000</v>
      </c>
      <c r="P27" s="103">
        <f>O27</f>
        <v>54000000</v>
      </c>
      <c r="Q27" s="103">
        <f>P27</f>
        <v>54000000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f>P31/12</f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9:N9 D10:N14 P9:Q14" xr:uid="{00000000-0002-0000-2C00-000000000000}"/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1"/>
  <dimension ref="A1:V59"/>
  <sheetViews>
    <sheetView topLeftCell="C1" zoomScale="66" workbookViewId="0">
      <selection activeCell="P36" sqref="P36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312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2500000</v>
      </c>
      <c r="D13" s="92">
        <v>2500000</v>
      </c>
      <c r="E13" s="162">
        <v>2500000</v>
      </c>
      <c r="F13" s="92">
        <v>2500000</v>
      </c>
      <c r="G13" s="92">
        <v>2500000</v>
      </c>
      <c r="H13" s="92">
        <v>2550000</v>
      </c>
      <c r="I13" s="92">
        <v>2550000</v>
      </c>
      <c r="J13" s="92">
        <v>2500000</v>
      </c>
      <c r="K13" s="92">
        <v>2550000</v>
      </c>
      <c r="L13" s="92">
        <v>2550000</v>
      </c>
      <c r="M13" s="92"/>
      <c r="N13" s="92"/>
      <c r="O13" s="32">
        <f>SUM(C13:N13)</f>
        <v>25200000</v>
      </c>
      <c r="P13" s="123">
        <f t="shared" ref="P13:P18" si="1">Q13</f>
        <v>30000000</v>
      </c>
      <c r="Q13" s="123">
        <f>F13*12</f>
        <v>30000000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>
        <v>100000</v>
      </c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2500000</v>
      </c>
      <c r="D19" s="37">
        <f t="shared" si="3"/>
        <v>2500000</v>
      </c>
      <c r="E19" s="37">
        <f t="shared" si="3"/>
        <v>2500000</v>
      </c>
      <c r="F19" s="37">
        <f t="shared" si="3"/>
        <v>2500000</v>
      </c>
      <c r="G19" s="37">
        <f t="shared" si="3"/>
        <v>2500000</v>
      </c>
      <c r="H19" s="37">
        <f t="shared" si="3"/>
        <v>2550000</v>
      </c>
      <c r="I19" s="37">
        <f t="shared" si="3"/>
        <v>2550000</v>
      </c>
      <c r="J19" s="37">
        <f t="shared" si="3"/>
        <v>2600000</v>
      </c>
      <c r="K19" s="37">
        <f t="shared" si="3"/>
        <v>2550000</v>
      </c>
      <c r="L19" s="37">
        <f t="shared" si="3"/>
        <v>2550000</v>
      </c>
      <c r="M19" s="37">
        <f t="shared" si="3"/>
        <v>0</v>
      </c>
      <c r="N19" s="37">
        <f t="shared" si="3"/>
        <v>0</v>
      </c>
      <c r="O19" s="38">
        <f>SUM(O13:O18)</f>
        <v>25200000</v>
      </c>
      <c r="P19" s="103">
        <f>SUM(P13:P18)</f>
        <v>30000000</v>
      </c>
      <c r="Q19" s="103">
        <f>SUM(Q13:Q18)</f>
        <v>30000000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2000000</v>
      </c>
      <c r="P20" s="110">
        <v>2000000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2500000</v>
      </c>
      <c r="D21" s="259">
        <f t="shared" ref="D21:N21" si="4">D19+D20</f>
        <v>2500000</v>
      </c>
      <c r="E21" s="259">
        <f t="shared" si="4"/>
        <v>2500000</v>
      </c>
      <c r="F21" s="259">
        <f t="shared" si="4"/>
        <v>2500000</v>
      </c>
      <c r="G21" s="259">
        <f>G19+G20</f>
        <v>2500000</v>
      </c>
      <c r="H21" s="259">
        <f t="shared" si="4"/>
        <v>2550000</v>
      </c>
      <c r="I21" s="259">
        <f t="shared" si="4"/>
        <v>2550000</v>
      </c>
      <c r="J21" s="259">
        <f t="shared" si="4"/>
        <v>2600000</v>
      </c>
      <c r="K21" s="259">
        <f t="shared" si="4"/>
        <v>2550000</v>
      </c>
      <c r="L21" s="259">
        <f t="shared" si="4"/>
        <v>2550000</v>
      </c>
      <c r="M21" s="259">
        <f t="shared" si="4"/>
        <v>0</v>
      </c>
      <c r="N21" s="259">
        <f t="shared" si="4"/>
        <v>0</v>
      </c>
      <c r="O21" s="259">
        <f>O19+O20</f>
        <v>27200000</v>
      </c>
      <c r="P21" s="103">
        <f>P19+P20</f>
        <v>32000000</v>
      </c>
      <c r="Q21" s="103">
        <f>Q19+Q20</f>
        <v>30000000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125000</v>
      </c>
      <c r="D23" s="257">
        <f t="shared" ref="D23:N23" si="5">IF(D21*5%&lt;500000,D21*5%,500000)</f>
        <v>125000</v>
      </c>
      <c r="E23" s="257">
        <f t="shared" si="5"/>
        <v>125000</v>
      </c>
      <c r="F23" s="257">
        <f t="shared" si="5"/>
        <v>125000</v>
      </c>
      <c r="G23" s="257">
        <f>IF(G21*5%&lt;500000,G21*5%,500000)</f>
        <v>125000</v>
      </c>
      <c r="H23" s="257">
        <f t="shared" si="5"/>
        <v>127500</v>
      </c>
      <c r="I23" s="257">
        <f t="shared" si="5"/>
        <v>127500</v>
      </c>
      <c r="J23" s="257">
        <f t="shared" si="5"/>
        <v>130000</v>
      </c>
      <c r="K23" s="257">
        <f t="shared" si="5"/>
        <v>127500</v>
      </c>
      <c r="L23" s="257">
        <f t="shared" si="5"/>
        <v>127500</v>
      </c>
      <c r="M23" s="257">
        <f t="shared" si="5"/>
        <v>0</v>
      </c>
      <c r="N23" s="257">
        <f t="shared" si="5"/>
        <v>0</v>
      </c>
      <c r="O23" s="99">
        <f>IF(O21*5%&lt;6000000,O21*5%,6000000)</f>
        <v>1360000</v>
      </c>
      <c r="P23" s="110">
        <f>IF(P21*5%&lt;6000000,P21*5%,6000000)</f>
        <v>1600000</v>
      </c>
      <c r="Q23" s="110">
        <f>IF(Q21*5%&lt;6000000,Q21*5%,6000000)</f>
        <v>1500000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125000</v>
      </c>
      <c r="D26" s="257">
        <f t="shared" si="6"/>
        <v>125000</v>
      </c>
      <c r="E26" s="257">
        <f t="shared" si="6"/>
        <v>125000</v>
      </c>
      <c r="F26" s="257">
        <f t="shared" si="6"/>
        <v>125000</v>
      </c>
      <c r="G26" s="257">
        <f>SUM(G23:G25)</f>
        <v>125000</v>
      </c>
      <c r="H26" s="257">
        <f t="shared" si="6"/>
        <v>127500</v>
      </c>
      <c r="I26" s="257">
        <f t="shared" si="6"/>
        <v>127500</v>
      </c>
      <c r="J26" s="257">
        <f t="shared" si="6"/>
        <v>130000</v>
      </c>
      <c r="K26" s="257">
        <f t="shared" si="6"/>
        <v>127500</v>
      </c>
      <c r="L26" s="257">
        <f t="shared" si="6"/>
        <v>127500</v>
      </c>
      <c r="M26" s="257">
        <f t="shared" si="6"/>
        <v>0</v>
      </c>
      <c r="N26" s="257">
        <f t="shared" si="6"/>
        <v>0</v>
      </c>
      <c r="O26" s="263">
        <f>SUM(O22:O25)</f>
        <v>1360000</v>
      </c>
      <c r="P26" s="103">
        <f>SUM(P23:P25)</f>
        <v>1600000</v>
      </c>
      <c r="Q26" s="103">
        <f>SUM(Q23:Q25)</f>
        <v>1500000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2375000</v>
      </c>
      <c r="D28" s="255">
        <f t="shared" ref="D28:O28" si="7">D21-D26</f>
        <v>2375000</v>
      </c>
      <c r="E28" s="255">
        <f t="shared" si="7"/>
        <v>2375000</v>
      </c>
      <c r="F28" s="255">
        <f t="shared" si="7"/>
        <v>2375000</v>
      </c>
      <c r="G28" s="255">
        <f>G21-G26</f>
        <v>2375000</v>
      </c>
      <c r="H28" s="255">
        <f t="shared" si="7"/>
        <v>2422500</v>
      </c>
      <c r="I28" s="255">
        <f t="shared" si="7"/>
        <v>2422500</v>
      </c>
      <c r="J28" s="255">
        <f t="shared" si="7"/>
        <v>2470000</v>
      </c>
      <c r="K28" s="255">
        <f t="shared" si="7"/>
        <v>2422500</v>
      </c>
      <c r="L28" s="255">
        <f t="shared" si="7"/>
        <v>2422500</v>
      </c>
      <c r="M28" s="255">
        <f t="shared" si="7"/>
        <v>0</v>
      </c>
      <c r="N28" s="255">
        <f t="shared" si="7"/>
        <v>0</v>
      </c>
      <c r="O28" s="255">
        <f t="shared" si="7"/>
        <v>25840000</v>
      </c>
      <c r="P28" s="103">
        <f>P21-P26</f>
        <v>30400000</v>
      </c>
      <c r="Q28" s="103">
        <f>Q21-Q26</f>
        <v>28500000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28500000</v>
      </c>
      <c r="D30" s="253">
        <f>SUM(C28:D28)*D10/D11</f>
        <v>28500000</v>
      </c>
      <c r="E30" s="253">
        <f>SUM(C28:E28)*E10/E11</f>
        <v>28500000</v>
      </c>
      <c r="F30" s="253">
        <f>SUM(C28:F28)*F10/F11</f>
        <v>28500000</v>
      </c>
      <c r="G30" s="253">
        <f>SUM(C28:G28)*G10/G11</f>
        <v>28500000</v>
      </c>
      <c r="H30" s="253">
        <f>SUM(C28:H28)*H10/H11</f>
        <v>28595000</v>
      </c>
      <c r="I30" s="253">
        <f>SUM(C28:I28)*I10/I11</f>
        <v>28662857.142857142</v>
      </c>
      <c r="J30" s="253">
        <f>SUM(C28:J28)*J10/J11</f>
        <v>28785000</v>
      </c>
      <c r="K30" s="253">
        <f>SUM(C28:K28)*K10/K11</f>
        <v>28816666.666666668</v>
      </c>
      <c r="L30" s="253">
        <f>SUM(C28:L28)*L10/L11</f>
        <v>28842000</v>
      </c>
      <c r="M30" s="253">
        <f>SUM(C28:M28)*M10/M11</f>
        <v>26220000</v>
      </c>
      <c r="N30" s="253">
        <f>SUM(C28:N28)*N10/N11</f>
        <v>24035000</v>
      </c>
      <c r="O30" s="254">
        <f>O28</f>
        <v>25840000</v>
      </c>
      <c r="P30" s="108">
        <f>P28</f>
        <v>30400000</v>
      </c>
      <c r="Q30" s="108">
        <f>Q28</f>
        <v>28500000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54000000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2500000</v>
      </c>
      <c r="D41" s="50">
        <f t="shared" si="14"/>
        <v>2500000</v>
      </c>
      <c r="E41" s="50">
        <f t="shared" si="14"/>
        <v>2500000</v>
      </c>
      <c r="F41" s="50">
        <f t="shared" si="14"/>
        <v>2500000</v>
      </c>
      <c r="G41" s="50">
        <f t="shared" si="14"/>
        <v>2500000</v>
      </c>
      <c r="H41" s="50">
        <f t="shared" si="14"/>
        <v>2550000</v>
      </c>
      <c r="I41" s="50">
        <f t="shared" si="14"/>
        <v>2550000</v>
      </c>
      <c r="J41" s="50">
        <f t="shared" si="14"/>
        <v>2600000</v>
      </c>
      <c r="K41" s="50">
        <f>K21-K25-K36</f>
        <v>2550000</v>
      </c>
      <c r="L41" s="50">
        <f>L21-L25-L36</f>
        <v>2550000</v>
      </c>
      <c r="M41" s="50">
        <f>M21-M25-M36</f>
        <v>0</v>
      </c>
      <c r="N41" s="50">
        <f>N21-N25-N36</f>
        <v>0</v>
      </c>
      <c r="O41" s="50">
        <f>O21-O25-O36-O38</f>
        <v>27200000</v>
      </c>
      <c r="P41" s="126">
        <f>P21-P25-P36</f>
        <v>32000000</v>
      </c>
      <c r="Q41" s="126">
        <f>Q21-Q25-Q36</f>
        <v>30000000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2D00-000000000000}"/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0"/>
  <dimension ref="A1:V59"/>
  <sheetViews>
    <sheetView topLeftCell="G1" zoomScale="74" workbookViewId="0">
      <selection activeCell="O33" sqref="O3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319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2500000</v>
      </c>
      <c r="D13" s="92">
        <v>2500000</v>
      </c>
      <c r="E13" s="162">
        <v>2500000</v>
      </c>
      <c r="F13" s="92">
        <v>2500000</v>
      </c>
      <c r="G13" s="92">
        <v>2500000</v>
      </c>
      <c r="H13" s="92">
        <v>2600000</v>
      </c>
      <c r="I13" s="92">
        <v>2600000</v>
      </c>
      <c r="J13" s="92">
        <v>2500000</v>
      </c>
      <c r="K13" s="92">
        <v>3050000</v>
      </c>
      <c r="L13" s="92">
        <v>3050000</v>
      </c>
      <c r="M13" s="92">
        <v>3000000</v>
      </c>
      <c r="N13" s="92">
        <v>3000000</v>
      </c>
      <c r="O13" s="32">
        <f>SUM(C13:N13)</f>
        <v>32300000</v>
      </c>
      <c r="P13" s="123">
        <f t="shared" ref="P13:P18" si="1">Q13</f>
        <v>30000000</v>
      </c>
      <c r="Q13" s="123">
        <f>F13*12</f>
        <v>30000000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>
        <v>150000</v>
      </c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2500000</v>
      </c>
      <c r="D19" s="37">
        <f t="shared" si="3"/>
        <v>2500000</v>
      </c>
      <c r="E19" s="37">
        <f t="shared" si="3"/>
        <v>2500000</v>
      </c>
      <c r="F19" s="37">
        <f t="shared" si="3"/>
        <v>2500000</v>
      </c>
      <c r="G19" s="37">
        <f t="shared" si="3"/>
        <v>2500000</v>
      </c>
      <c r="H19" s="37">
        <f t="shared" si="3"/>
        <v>2600000</v>
      </c>
      <c r="I19" s="37">
        <f t="shared" si="3"/>
        <v>2600000</v>
      </c>
      <c r="J19" s="37">
        <f t="shared" si="3"/>
        <v>2650000</v>
      </c>
      <c r="K19" s="37">
        <f t="shared" si="3"/>
        <v>3050000</v>
      </c>
      <c r="L19" s="37">
        <f t="shared" si="3"/>
        <v>3050000</v>
      </c>
      <c r="M19" s="37">
        <f t="shared" si="3"/>
        <v>3000000</v>
      </c>
      <c r="N19" s="37">
        <f t="shared" si="3"/>
        <v>3000000</v>
      </c>
      <c r="O19" s="38">
        <f>SUM(O13:O18)</f>
        <v>32300000</v>
      </c>
      <c r="P19" s="103">
        <f>SUM(P13:P18)</f>
        <v>30000000</v>
      </c>
      <c r="Q19" s="103">
        <f>SUM(Q13:Q18)</f>
        <v>30000000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2000000</v>
      </c>
      <c r="P20" s="110">
        <v>2000000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2500000</v>
      </c>
      <c r="D21" s="259">
        <f t="shared" ref="D21:N21" si="4">D19+D20</f>
        <v>2500000</v>
      </c>
      <c r="E21" s="259">
        <f t="shared" si="4"/>
        <v>2500000</v>
      </c>
      <c r="F21" s="259">
        <f t="shared" si="4"/>
        <v>2500000</v>
      </c>
      <c r="G21" s="259">
        <f>G19+G20</f>
        <v>2500000</v>
      </c>
      <c r="H21" s="259">
        <f t="shared" si="4"/>
        <v>2600000</v>
      </c>
      <c r="I21" s="259">
        <f t="shared" si="4"/>
        <v>2600000</v>
      </c>
      <c r="J21" s="259">
        <f t="shared" si="4"/>
        <v>2650000</v>
      </c>
      <c r="K21" s="259">
        <f t="shared" si="4"/>
        <v>3050000</v>
      </c>
      <c r="L21" s="259">
        <f t="shared" si="4"/>
        <v>3050000</v>
      </c>
      <c r="M21" s="259">
        <f t="shared" si="4"/>
        <v>3000000</v>
      </c>
      <c r="N21" s="259">
        <f t="shared" si="4"/>
        <v>3000000</v>
      </c>
      <c r="O21" s="259">
        <f>O19+O20</f>
        <v>34300000</v>
      </c>
      <c r="P21" s="103">
        <f>P19+P20</f>
        <v>32000000</v>
      </c>
      <c r="Q21" s="103">
        <f>Q19+Q20</f>
        <v>30000000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125000</v>
      </c>
      <c r="D23" s="257">
        <f t="shared" ref="D23:O23" si="5">IF(D21*5%&lt;500000,D21*5%,500000)</f>
        <v>125000</v>
      </c>
      <c r="E23" s="257">
        <f t="shared" si="5"/>
        <v>125000</v>
      </c>
      <c r="F23" s="257">
        <f t="shared" si="5"/>
        <v>125000</v>
      </c>
      <c r="G23" s="257">
        <f>IF(G21*5%&lt;500000,G21*5%,500000)</f>
        <v>125000</v>
      </c>
      <c r="H23" s="257">
        <f t="shared" si="5"/>
        <v>130000</v>
      </c>
      <c r="I23" s="257">
        <f t="shared" si="5"/>
        <v>130000</v>
      </c>
      <c r="J23" s="257">
        <f t="shared" si="5"/>
        <v>132500</v>
      </c>
      <c r="K23" s="257">
        <f t="shared" si="5"/>
        <v>152500</v>
      </c>
      <c r="L23" s="257">
        <f t="shared" si="5"/>
        <v>152500</v>
      </c>
      <c r="M23" s="257">
        <f t="shared" si="5"/>
        <v>150000</v>
      </c>
      <c r="N23" s="257">
        <f t="shared" si="5"/>
        <v>150000</v>
      </c>
      <c r="O23" s="257">
        <f>IF(O21*5%&lt;6000000,O21*5%,6000000)</f>
        <v>1715000</v>
      </c>
      <c r="P23" s="110">
        <f>IF(P21*5%&lt;6000000,P21*5%,6000000)</f>
        <v>1600000</v>
      </c>
      <c r="Q23" s="110">
        <f>IF(Q21*5%&lt;6000000,Q21*5%,6000000)</f>
        <v>1500000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125000</v>
      </c>
      <c r="D26" s="257">
        <f t="shared" si="6"/>
        <v>125000</v>
      </c>
      <c r="E26" s="257">
        <f t="shared" si="6"/>
        <v>125000</v>
      </c>
      <c r="F26" s="257">
        <f t="shared" si="6"/>
        <v>125000</v>
      </c>
      <c r="G26" s="257">
        <f>SUM(G23:G25)</f>
        <v>125000</v>
      </c>
      <c r="H26" s="257">
        <f t="shared" si="6"/>
        <v>130000</v>
      </c>
      <c r="I26" s="257">
        <f t="shared" si="6"/>
        <v>130000</v>
      </c>
      <c r="J26" s="257">
        <f t="shared" si="6"/>
        <v>132500</v>
      </c>
      <c r="K26" s="257">
        <f t="shared" si="6"/>
        <v>152500</v>
      </c>
      <c r="L26" s="257">
        <f t="shared" si="6"/>
        <v>152500</v>
      </c>
      <c r="M26" s="257">
        <f t="shared" si="6"/>
        <v>150000</v>
      </c>
      <c r="N26" s="257">
        <f t="shared" si="6"/>
        <v>150000</v>
      </c>
      <c r="O26" s="263">
        <f>SUM(O22:O25)</f>
        <v>1715000</v>
      </c>
      <c r="P26" s="103">
        <f>SUM(P23:P25)</f>
        <v>1600000</v>
      </c>
      <c r="Q26" s="103">
        <f>SUM(Q23:Q25)</f>
        <v>1500000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2375000</v>
      </c>
      <c r="D28" s="255">
        <f t="shared" ref="D28:O28" si="7">D21-D26</f>
        <v>2375000</v>
      </c>
      <c r="E28" s="255">
        <f t="shared" si="7"/>
        <v>2375000</v>
      </c>
      <c r="F28" s="255">
        <f t="shared" si="7"/>
        <v>2375000</v>
      </c>
      <c r="G28" s="255">
        <f>G21-G26</f>
        <v>2375000</v>
      </c>
      <c r="H28" s="255">
        <f t="shared" si="7"/>
        <v>2470000</v>
      </c>
      <c r="I28" s="255">
        <f t="shared" si="7"/>
        <v>2470000</v>
      </c>
      <c r="J28" s="255">
        <f t="shared" si="7"/>
        <v>2517500</v>
      </c>
      <c r="K28" s="255">
        <f t="shared" si="7"/>
        <v>2897500</v>
      </c>
      <c r="L28" s="255">
        <f t="shared" si="7"/>
        <v>2897500</v>
      </c>
      <c r="M28" s="255">
        <f t="shared" si="7"/>
        <v>2850000</v>
      </c>
      <c r="N28" s="255">
        <f t="shared" si="7"/>
        <v>2850000</v>
      </c>
      <c r="O28" s="255">
        <f t="shared" si="7"/>
        <v>32585000</v>
      </c>
      <c r="P28" s="103">
        <f>P21-P26</f>
        <v>30400000</v>
      </c>
      <c r="Q28" s="103">
        <f>Q21-Q26</f>
        <v>28500000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28500000</v>
      </c>
      <c r="D30" s="253">
        <f>SUM(C28:D28)*D10/D11</f>
        <v>28500000</v>
      </c>
      <c r="E30" s="253">
        <f>SUM(C28:E28)*E10/E11</f>
        <v>28500000</v>
      </c>
      <c r="F30" s="253">
        <f>SUM(C28:F28)*F10/F11</f>
        <v>28500000</v>
      </c>
      <c r="G30" s="253">
        <f>SUM(C28:G28)*G10/G11</f>
        <v>28500000</v>
      </c>
      <c r="H30" s="253">
        <f>SUM(C28:H28)*H10/H11</f>
        <v>28690000</v>
      </c>
      <c r="I30" s="253">
        <f>SUM(C28:I28)*I10/I11</f>
        <v>28825714.285714287</v>
      </c>
      <c r="J30" s="253">
        <f>SUM(C28:J28)*J10/J11</f>
        <v>28998750</v>
      </c>
      <c r="K30" s="253">
        <f>SUM(C28:K28)*K10/K11</f>
        <v>29640000</v>
      </c>
      <c r="L30" s="253">
        <f>SUM(C28:L28)*L10/L11</f>
        <v>30153000</v>
      </c>
      <c r="M30" s="253">
        <f>SUM(C28:M28)*M10/M11</f>
        <v>30520909.09090909</v>
      </c>
      <c r="N30" s="253">
        <f>SUM(C28:N28)*N10/N11</f>
        <v>30827500</v>
      </c>
      <c r="O30" s="254">
        <f>O28</f>
        <v>32585000</v>
      </c>
      <c r="P30" s="108">
        <f>P28</f>
        <v>30400000</v>
      </c>
      <c r="Q30" s="108">
        <f>Q28</f>
        <v>28500000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2500000</v>
      </c>
      <c r="D41" s="50">
        <f t="shared" si="14"/>
        <v>2500000</v>
      </c>
      <c r="E41" s="50">
        <f t="shared" si="14"/>
        <v>2500000</v>
      </c>
      <c r="F41" s="50">
        <f t="shared" si="14"/>
        <v>2500000</v>
      </c>
      <c r="G41" s="50">
        <f t="shared" si="14"/>
        <v>2500000</v>
      </c>
      <c r="H41" s="50">
        <f t="shared" si="14"/>
        <v>2600000</v>
      </c>
      <c r="I41" s="50">
        <f t="shared" si="14"/>
        <v>2600000</v>
      </c>
      <c r="J41" s="50">
        <f t="shared" si="14"/>
        <v>2650000</v>
      </c>
      <c r="K41" s="50">
        <f>K21-K25-K36</f>
        <v>3050000</v>
      </c>
      <c r="L41" s="50">
        <f>L21-L25-L36</f>
        <v>3050000</v>
      </c>
      <c r="M41" s="50">
        <f>M21-M25-M36</f>
        <v>3000000</v>
      </c>
      <c r="N41" s="50">
        <f>N21-N25-N36</f>
        <v>3000000</v>
      </c>
      <c r="O41" s="50">
        <f>O21-O25-O36-O38</f>
        <v>34300000</v>
      </c>
      <c r="P41" s="126">
        <f>P21-P25-P36</f>
        <v>32000000</v>
      </c>
      <c r="Q41" s="126">
        <f>Q21-Q25-Q36</f>
        <v>30000000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2E00-000000000000}"/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4"/>
  <dimension ref="A1:V51"/>
  <sheetViews>
    <sheetView topLeftCell="A8" workbookViewId="0">
      <pane xSplit="2" ySplit="1" topLeftCell="C9" activePane="bottomRight" state="frozen"/>
      <selection activeCell="J32" sqref="J32"/>
      <selection pane="topRight" activeCell="J32" sqref="J32"/>
      <selection pane="bottomLeft" activeCell="J32" sqref="J32"/>
      <selection pane="bottomRight" activeCell="G33" sqref="G3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>
        <f>SUM(C9:N9)</f>
        <v>0</v>
      </c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>
        <f>SUM(C11:N11)</f>
        <v>0</v>
      </c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0</v>
      </c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>
        <f>SUM(O9:O14)</f>
        <v>0</v>
      </c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 t="shared" si="2"/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 t="shared" ref="D19:N19" si="3">IF(D17*5%&lt;500000,D17*5%,500000)</f>
        <v>0</v>
      </c>
      <c r="E19" s="37">
        <f t="shared" si="3"/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 t="shared" ref="C24:N24" si="5">C17-C22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72000000</v>
      </c>
      <c r="D27" s="53">
        <f>C27</f>
        <v>72000000</v>
      </c>
      <c r="E27" s="53">
        <f t="shared" ref="E27:M27" si="6">D27</f>
        <v>72000000</v>
      </c>
      <c r="F27" s="53">
        <f t="shared" si="6"/>
        <v>72000000</v>
      </c>
      <c r="G27" s="53">
        <f t="shared" si="6"/>
        <v>72000000</v>
      </c>
      <c r="H27" s="53">
        <f>G27</f>
        <v>72000000</v>
      </c>
      <c r="I27" s="53">
        <f t="shared" si="6"/>
        <v>72000000</v>
      </c>
      <c r="J27" s="53">
        <f t="shared" si="6"/>
        <v>72000000</v>
      </c>
      <c r="K27" s="53">
        <f t="shared" si="6"/>
        <v>72000000</v>
      </c>
      <c r="L27" s="53">
        <f t="shared" si="6"/>
        <v>72000000</v>
      </c>
      <c r="M27" s="53">
        <f t="shared" si="6"/>
        <v>72000000</v>
      </c>
      <c r="N27" s="53">
        <f>M27</f>
        <v>72000000</v>
      </c>
      <c r="O27" s="53">
        <f>N27</f>
        <v>72000000</v>
      </c>
      <c r="P27" s="103">
        <f>O27</f>
        <v>72000000</v>
      </c>
      <c r="Q27" s="103">
        <f>P27</f>
        <v>72000000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f>P31/12</f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9:N9 D10:N14 P9:Q14" xr:uid="{00000000-0002-0000-2F00-000000000000}"/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8"/>
  <dimension ref="A1:V59"/>
  <sheetViews>
    <sheetView topLeftCell="C1" zoomScale="62" workbookViewId="0">
      <selection activeCell="M19" sqref="M19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327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5000000</v>
      </c>
      <c r="D13" s="137">
        <v>5000000</v>
      </c>
      <c r="E13" s="162">
        <v>5000000</v>
      </c>
      <c r="F13" s="92">
        <v>5000000</v>
      </c>
      <c r="G13" s="92">
        <v>5000000</v>
      </c>
      <c r="H13" s="92">
        <v>5000000</v>
      </c>
      <c r="I13" s="92">
        <v>5000000</v>
      </c>
      <c r="J13" s="92">
        <v>5000000</v>
      </c>
      <c r="K13" s="92">
        <v>5000000</v>
      </c>
      <c r="L13" s="92">
        <v>5000000</v>
      </c>
      <c r="M13" s="92">
        <v>5000000</v>
      </c>
      <c r="N13" s="92">
        <v>5000000</v>
      </c>
      <c r="O13" s="32">
        <f>SUM(C13:N13)</f>
        <v>60000000</v>
      </c>
      <c r="P13" s="123">
        <f t="shared" ref="P13:P18" si="1">Q13</f>
        <v>60000000</v>
      </c>
      <c r="Q13" s="123">
        <f>F13*12</f>
        <v>60000000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5000000</v>
      </c>
      <c r="D19" s="37">
        <f t="shared" si="3"/>
        <v>5000000</v>
      </c>
      <c r="E19" s="37">
        <f t="shared" si="3"/>
        <v>5000000</v>
      </c>
      <c r="F19" s="37">
        <f t="shared" si="3"/>
        <v>5000000</v>
      </c>
      <c r="G19" s="37">
        <f t="shared" si="3"/>
        <v>5000000</v>
      </c>
      <c r="H19" s="37">
        <f t="shared" si="3"/>
        <v>5000000</v>
      </c>
      <c r="I19" s="37">
        <f t="shared" si="3"/>
        <v>5000000</v>
      </c>
      <c r="J19" s="37">
        <f t="shared" si="3"/>
        <v>5000000</v>
      </c>
      <c r="K19" s="37">
        <f t="shared" si="3"/>
        <v>5000000</v>
      </c>
      <c r="L19" s="37">
        <f t="shared" si="3"/>
        <v>5000000</v>
      </c>
      <c r="M19" s="37">
        <f t="shared" si="3"/>
        <v>5000000</v>
      </c>
      <c r="N19" s="37">
        <f t="shared" si="3"/>
        <v>5000000</v>
      </c>
      <c r="O19" s="38">
        <f>SUM(O13:O18)</f>
        <v>60000000</v>
      </c>
      <c r="P19" s="103">
        <f>SUM(P13:P18)</f>
        <v>60000000</v>
      </c>
      <c r="Q19" s="103">
        <f>SUM(Q13:Q18)</f>
        <v>60000000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3000000</v>
      </c>
      <c r="P20" s="110">
        <v>3000000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5000000</v>
      </c>
      <c r="D21" s="259">
        <f t="shared" ref="D21:N21" si="4">D19+D20</f>
        <v>5000000</v>
      </c>
      <c r="E21" s="259">
        <f t="shared" si="4"/>
        <v>5000000</v>
      </c>
      <c r="F21" s="259">
        <f t="shared" si="4"/>
        <v>5000000</v>
      </c>
      <c r="G21" s="259">
        <f>G19+G20</f>
        <v>5000000</v>
      </c>
      <c r="H21" s="259">
        <f t="shared" si="4"/>
        <v>5000000</v>
      </c>
      <c r="I21" s="259">
        <f t="shared" si="4"/>
        <v>5000000</v>
      </c>
      <c r="J21" s="259">
        <f t="shared" si="4"/>
        <v>5000000</v>
      </c>
      <c r="K21" s="259">
        <f t="shared" si="4"/>
        <v>5000000</v>
      </c>
      <c r="L21" s="259">
        <f t="shared" si="4"/>
        <v>5000000</v>
      </c>
      <c r="M21" s="259">
        <f t="shared" si="4"/>
        <v>5000000</v>
      </c>
      <c r="N21" s="259">
        <f t="shared" si="4"/>
        <v>5000000</v>
      </c>
      <c r="O21" s="259">
        <f>O19+O20</f>
        <v>63000000</v>
      </c>
      <c r="P21" s="103">
        <f>P19+P20</f>
        <v>63000000</v>
      </c>
      <c r="Q21" s="103">
        <f>Q19+Q20</f>
        <v>60000000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250000</v>
      </c>
      <c r="D23" s="257">
        <f t="shared" ref="D23:O23" si="5">IF(D21*5%&lt;500000,D21*5%,500000)</f>
        <v>250000</v>
      </c>
      <c r="E23" s="257">
        <f t="shared" si="5"/>
        <v>250000</v>
      </c>
      <c r="F23" s="257">
        <f t="shared" si="5"/>
        <v>250000</v>
      </c>
      <c r="G23" s="257">
        <f>IF(G21*5%&lt;500000,G21*5%,500000)</f>
        <v>250000</v>
      </c>
      <c r="H23" s="257">
        <f t="shared" si="5"/>
        <v>250000</v>
      </c>
      <c r="I23" s="257">
        <f t="shared" si="5"/>
        <v>250000</v>
      </c>
      <c r="J23" s="257">
        <f t="shared" si="5"/>
        <v>250000</v>
      </c>
      <c r="K23" s="257">
        <f t="shared" si="5"/>
        <v>250000</v>
      </c>
      <c r="L23" s="257">
        <f t="shared" si="5"/>
        <v>250000</v>
      </c>
      <c r="M23" s="257">
        <f t="shared" si="5"/>
        <v>250000</v>
      </c>
      <c r="N23" s="257">
        <f t="shared" si="5"/>
        <v>250000</v>
      </c>
      <c r="O23" s="257">
        <f>IF(O21*5%&lt;6000000,O21*5%,6000000)</f>
        <v>3150000</v>
      </c>
      <c r="P23" s="110">
        <f>IF(P21*5%&lt;6000000,P21*5%,6000000)</f>
        <v>3150000</v>
      </c>
      <c r="Q23" s="110">
        <f>IF(Q21*5%&lt;6000000,Q21*5%,6000000)</f>
        <v>3000000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250000</v>
      </c>
      <c r="D26" s="257">
        <f t="shared" si="6"/>
        <v>250000</v>
      </c>
      <c r="E26" s="257">
        <f t="shared" si="6"/>
        <v>250000</v>
      </c>
      <c r="F26" s="257">
        <f t="shared" si="6"/>
        <v>250000</v>
      </c>
      <c r="G26" s="257">
        <f>SUM(G23:G25)</f>
        <v>250000</v>
      </c>
      <c r="H26" s="257">
        <f t="shared" si="6"/>
        <v>250000</v>
      </c>
      <c r="I26" s="257">
        <f t="shared" si="6"/>
        <v>250000</v>
      </c>
      <c r="J26" s="257">
        <f t="shared" si="6"/>
        <v>250000</v>
      </c>
      <c r="K26" s="257">
        <f t="shared" si="6"/>
        <v>250000</v>
      </c>
      <c r="L26" s="257">
        <f t="shared" si="6"/>
        <v>250000</v>
      </c>
      <c r="M26" s="257">
        <f t="shared" si="6"/>
        <v>250000</v>
      </c>
      <c r="N26" s="257">
        <f t="shared" si="6"/>
        <v>250000</v>
      </c>
      <c r="O26" s="263">
        <f>SUM(O22:O25)</f>
        <v>3150000</v>
      </c>
      <c r="P26" s="103">
        <f>SUM(P23:P25)</f>
        <v>3150000</v>
      </c>
      <c r="Q26" s="103">
        <f>SUM(Q23:Q25)</f>
        <v>3000000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4750000</v>
      </c>
      <c r="D28" s="255">
        <f t="shared" ref="D28:O28" si="7">D21-D26</f>
        <v>4750000</v>
      </c>
      <c r="E28" s="255">
        <f t="shared" si="7"/>
        <v>4750000</v>
      </c>
      <c r="F28" s="255">
        <f t="shared" si="7"/>
        <v>4750000</v>
      </c>
      <c r="G28" s="255">
        <f>G21-G26</f>
        <v>4750000</v>
      </c>
      <c r="H28" s="255">
        <f t="shared" si="7"/>
        <v>4750000</v>
      </c>
      <c r="I28" s="255">
        <f t="shared" si="7"/>
        <v>4750000</v>
      </c>
      <c r="J28" s="255">
        <f t="shared" si="7"/>
        <v>4750000</v>
      </c>
      <c r="K28" s="255">
        <f t="shared" si="7"/>
        <v>4750000</v>
      </c>
      <c r="L28" s="255">
        <f t="shared" si="7"/>
        <v>4750000</v>
      </c>
      <c r="M28" s="255">
        <f t="shared" si="7"/>
        <v>4750000</v>
      </c>
      <c r="N28" s="255">
        <f t="shared" si="7"/>
        <v>4750000</v>
      </c>
      <c r="O28" s="255">
        <f t="shared" si="7"/>
        <v>59850000</v>
      </c>
      <c r="P28" s="103">
        <f>P21-P26</f>
        <v>59850000</v>
      </c>
      <c r="Q28" s="103">
        <f>Q21-Q26</f>
        <v>57000000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57000000</v>
      </c>
      <c r="D30" s="253">
        <f>SUM(C28:D28)*D10/D11</f>
        <v>57000000</v>
      </c>
      <c r="E30" s="253">
        <f>SUM(C28:E28)*E10/E11</f>
        <v>57000000</v>
      </c>
      <c r="F30" s="253">
        <f>SUM(C28:F28)*F10/F11</f>
        <v>57000000</v>
      </c>
      <c r="G30" s="253">
        <f>SUM(C28:G28)*G10/G11</f>
        <v>57000000</v>
      </c>
      <c r="H30" s="253">
        <f>SUM(C28:H28)*H10/H11</f>
        <v>57000000</v>
      </c>
      <c r="I30" s="253">
        <f>SUM(C28:I28)*I10/I11</f>
        <v>57000000</v>
      </c>
      <c r="J30" s="253">
        <f>SUM(C28:J28)*J10/J11</f>
        <v>57000000</v>
      </c>
      <c r="K30" s="253">
        <f>SUM(C28:K28)*K10/K11</f>
        <v>57000000</v>
      </c>
      <c r="L30" s="253">
        <f>SUM(C28:L28)*L10/L11</f>
        <v>57000000</v>
      </c>
      <c r="M30" s="253">
        <f>SUM(C28:M28)*M10/M11</f>
        <v>57000000</v>
      </c>
      <c r="N30" s="253">
        <f>SUM(C28:N28)*N10/N11</f>
        <v>57000000</v>
      </c>
      <c r="O30" s="254">
        <f>O28</f>
        <v>59850000</v>
      </c>
      <c r="P30" s="108">
        <f>P28</f>
        <v>59850000</v>
      </c>
      <c r="Q30" s="108">
        <f>Q28</f>
        <v>57000000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54000000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3000000</v>
      </c>
      <c r="D32" s="256">
        <f t="shared" ref="D32:O32" si="9">ROUNDDOWN(IF(D30&lt;=D31,0,IF(D30&gt;D31,D30-D31)),-3)</f>
        <v>3000000</v>
      </c>
      <c r="E32" s="256">
        <f t="shared" si="9"/>
        <v>3000000</v>
      </c>
      <c r="F32" s="256">
        <f t="shared" si="9"/>
        <v>3000000</v>
      </c>
      <c r="G32" s="256">
        <f t="shared" si="9"/>
        <v>3000000</v>
      </c>
      <c r="H32" s="256">
        <f t="shared" si="9"/>
        <v>3000000</v>
      </c>
      <c r="I32" s="256">
        <f>ROUNDDOWN(IF(I30&lt;=I31,0,IF(I30&gt;I31,I30-I31)),-3)</f>
        <v>3000000</v>
      </c>
      <c r="J32" s="256">
        <f t="shared" si="9"/>
        <v>3000000</v>
      </c>
      <c r="K32" s="256">
        <f t="shared" si="9"/>
        <v>3000000</v>
      </c>
      <c r="L32" s="256">
        <f t="shared" si="9"/>
        <v>3000000</v>
      </c>
      <c r="M32" s="256">
        <f t="shared" si="9"/>
        <v>3000000</v>
      </c>
      <c r="N32" s="256">
        <f t="shared" si="9"/>
        <v>3000000</v>
      </c>
      <c r="O32" s="256">
        <f t="shared" si="9"/>
        <v>5850000</v>
      </c>
      <c r="P32" s="103">
        <f t="shared" ref="D32:Q32" si="10">ROUNDDOWN(IF(P30&lt;=P31,0,IF(P30&gt;P31,P30-P31)),-3)</f>
        <v>5850000</v>
      </c>
      <c r="Q32" s="103">
        <f t="shared" si="10"/>
        <v>3000000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150000</v>
      </c>
      <c r="D33" s="257">
        <f t="shared" si="11"/>
        <v>150000</v>
      </c>
      <c r="E33" s="257">
        <f t="shared" si="11"/>
        <v>150000</v>
      </c>
      <c r="F33" s="257">
        <f t="shared" si="11"/>
        <v>150000</v>
      </c>
      <c r="G33" s="257">
        <f t="shared" si="11"/>
        <v>150000</v>
      </c>
      <c r="H33" s="257">
        <f t="shared" si="11"/>
        <v>150000</v>
      </c>
      <c r="I33" s="257">
        <f t="shared" si="11"/>
        <v>150000</v>
      </c>
      <c r="J33" s="257">
        <f t="shared" si="11"/>
        <v>150000</v>
      </c>
      <c r="K33" s="257">
        <f t="shared" si="11"/>
        <v>150000</v>
      </c>
      <c r="L33" s="257">
        <f t="shared" si="11"/>
        <v>150000</v>
      </c>
      <c r="M33" s="257">
        <f t="shared" si="11"/>
        <v>150000</v>
      </c>
      <c r="N33" s="257">
        <f t="shared" si="11"/>
        <v>150000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IF(O32&lt;0,0,IF(O32&lt;60000000,O32*5%,IF(O32&lt;250000000,(O32-60000000)*15%+3000000,IF(O32&lt;500000000,(O32-250000000)*25%+31500000,IF(O32&lt;5000000000,(O32-500000000)*30%+94000000,IF(O32&gt;5000000000,(O32-500000000)*35%+1444000000))))))*120%</f>
        <v>351000</v>
      </c>
      <c r="P33" s="255">
        <f>IF(P32&lt;0,0,IF(P32&lt;60000000,P32*5%,IF(P32&lt;250000000,(P32-60000000)*15%+3000000,IF(P32&lt;500000000,(P32-250000000)*25%+31500000,IF(P32&lt;5000000000,(P32-500000000)*30%+94000000,IF(P32&gt;5000000000,(P32-500000000)*35%+1444000000))))))*120%</f>
        <v>351000</v>
      </c>
      <c r="Q33" s="255">
        <f>IF(Q32&lt;0,0,IF(Q32&lt;60000000,Q32*5%,IF(Q32&lt;250000000,(Q32-60000000)*15%+3000000,IF(Q32&lt;500000000,(Q32-250000000)*25%+31500000,IF(Q32&lt;5000000000,(Q32-500000000)*30%+94000000,IF(Q32&gt;5000000000,(Q32-500000000)*35%+1444000000))))))*120%</f>
        <v>180000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150000</v>
      </c>
      <c r="D35" s="255">
        <f t="shared" ref="D35:M35" si="12">D33-D34</f>
        <v>150000</v>
      </c>
      <c r="E35" s="255">
        <f t="shared" si="12"/>
        <v>150000</v>
      </c>
      <c r="F35" s="255">
        <f t="shared" si="12"/>
        <v>150000</v>
      </c>
      <c r="G35" s="255">
        <f t="shared" si="12"/>
        <v>150000</v>
      </c>
      <c r="H35" s="255">
        <f t="shared" si="12"/>
        <v>150000</v>
      </c>
      <c r="I35" s="255">
        <f t="shared" si="12"/>
        <v>150000</v>
      </c>
      <c r="J35" s="255">
        <f t="shared" si="12"/>
        <v>150000</v>
      </c>
      <c r="K35" s="255">
        <f t="shared" si="12"/>
        <v>150000</v>
      </c>
      <c r="L35" s="255">
        <f t="shared" si="12"/>
        <v>150000</v>
      </c>
      <c r="M35" s="255">
        <f t="shared" si="12"/>
        <v>150000</v>
      </c>
      <c r="N35" s="255">
        <f>N33-N34</f>
        <v>150000</v>
      </c>
      <c r="O35" s="255">
        <f>O33</f>
        <v>351000</v>
      </c>
      <c r="P35" s="103">
        <f>P33+P34</f>
        <v>351000</v>
      </c>
      <c r="Q35" s="103">
        <f>Q33+Q34</f>
        <v>180000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15000</v>
      </c>
      <c r="D36" s="264">
        <f>(D35/D10*D11*120%)-SUM(C36)</f>
        <v>15000</v>
      </c>
      <c r="E36" s="264">
        <f>(E35/E10*E11*120%)-SUM(C36:D36)</f>
        <v>15000</v>
      </c>
      <c r="F36" s="264">
        <f>(F35/F10*F11*120%)-SUM(C36:E36)</f>
        <v>15000</v>
      </c>
      <c r="G36" s="264">
        <f>(G35/G10*G11*120%)-SUM(C36:F36)</f>
        <v>15000</v>
      </c>
      <c r="H36" s="264">
        <f>(H35/H10*H11*120%)-SUM(C36:G36)</f>
        <v>15000</v>
      </c>
      <c r="I36" s="264">
        <f>(I35/I10*I11*120%)-SUM(C36:H36)</f>
        <v>15000</v>
      </c>
      <c r="J36" s="264">
        <f>(J35/J10*J11*120%)-SUM(C36:I36)</f>
        <v>15000</v>
      </c>
      <c r="K36" s="264">
        <f>(K35/K10*K11*120%)-SUM(C36:J36)</f>
        <v>15000</v>
      </c>
      <c r="L36" s="264">
        <f>(L35/L10*L11*120%)-SUM(C36:K36)</f>
        <v>15000</v>
      </c>
      <c r="M36" s="264">
        <f>(M35/M10*M11*120%)-SUM(C36:L36)</f>
        <v>15000</v>
      </c>
      <c r="N36" s="264">
        <f>(N35/N10*N11*120%)-SUM(C36:M36)</f>
        <v>15000</v>
      </c>
      <c r="O36" s="259">
        <f>SUM(C36:N36)+P37</f>
        <v>351000</v>
      </c>
      <c r="P36" s="108">
        <f>P35/12</f>
        <v>29250</v>
      </c>
      <c r="Q36" s="108">
        <f>Q35/12</f>
        <v>15000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171000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186000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3">C21-C25-C36</f>
        <v>4985000</v>
      </c>
      <c r="D41" s="50">
        <f t="shared" si="13"/>
        <v>4985000</v>
      </c>
      <c r="E41" s="50">
        <f t="shared" si="13"/>
        <v>4985000</v>
      </c>
      <c r="F41" s="50">
        <f t="shared" si="13"/>
        <v>4985000</v>
      </c>
      <c r="G41" s="50">
        <f t="shared" si="13"/>
        <v>4985000</v>
      </c>
      <c r="H41" s="50">
        <f t="shared" si="13"/>
        <v>4985000</v>
      </c>
      <c r="I41" s="50">
        <f t="shared" si="13"/>
        <v>4985000</v>
      </c>
      <c r="J41" s="50">
        <f t="shared" si="13"/>
        <v>4985000</v>
      </c>
      <c r="K41" s="50">
        <f>K21-K25-K36</f>
        <v>4985000</v>
      </c>
      <c r="L41" s="50">
        <f>L21-L25-L36</f>
        <v>4985000</v>
      </c>
      <c r="M41" s="50">
        <f>M21-M25-M36</f>
        <v>4985000</v>
      </c>
      <c r="N41" s="50">
        <f>N21-N25-N36</f>
        <v>4985000</v>
      </c>
      <c r="O41" s="50">
        <f>O21-O25-O36-O38</f>
        <v>62649000</v>
      </c>
      <c r="P41" s="126">
        <f>P21-P25-P36</f>
        <v>62970750</v>
      </c>
      <c r="Q41" s="126">
        <f>Q21-Q25-Q36</f>
        <v>59985000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30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6"/>
  <dimension ref="A1:V51"/>
  <sheetViews>
    <sheetView topLeftCell="A8" zoomScale="85" zoomScaleNormal="85" workbookViewId="0">
      <pane xSplit="2" ySplit="1" topLeftCell="C9" activePane="bottomRight" state="frozen"/>
      <selection activeCell="C32" sqref="C32:Q32"/>
      <selection pane="topRight" activeCell="C32" sqref="C32:Q32"/>
      <selection pane="bottomLeft" activeCell="C32" sqref="C32:Q32"/>
      <selection pane="bottomRight" activeCell="D32" sqref="D32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93" bestFit="1" customWidth="1"/>
    <col min="6" max="6" width="14.28515625" style="93" customWidth="1"/>
    <col min="7" max="7" width="16.42578125" style="93" customWidth="1"/>
    <col min="8" max="8" width="14.140625" style="93" customWidth="1"/>
    <col min="9" max="13" width="13.42578125" style="93" bestFit="1" customWidth="1"/>
    <col min="14" max="14" width="14.7109375" style="93" customWidth="1"/>
    <col min="15" max="15" width="14" style="9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450</v>
      </c>
      <c r="C1" s="18"/>
      <c r="D1" s="18"/>
      <c r="E1" s="18"/>
      <c r="F1" s="18"/>
      <c r="G1" s="18"/>
      <c r="H1" s="18"/>
      <c r="I1" s="18"/>
      <c r="J1" s="18"/>
      <c r="K1" s="18"/>
      <c r="O1" s="18"/>
      <c r="P1" s="94"/>
      <c r="Q1" s="94"/>
    </row>
    <row r="2" spans="1:17" x14ac:dyDescent="0.25">
      <c r="A2" s="6" t="s">
        <v>38</v>
      </c>
      <c r="B2" s="4"/>
      <c r="C2" s="18"/>
      <c r="D2" s="18"/>
      <c r="E2" s="18"/>
      <c r="F2" s="18"/>
      <c r="G2" s="18"/>
      <c r="H2" s="18"/>
      <c r="I2" s="18"/>
      <c r="J2" s="18"/>
      <c r="K2" s="18"/>
      <c r="O2" s="18"/>
      <c r="P2" s="94"/>
      <c r="Q2" s="94"/>
    </row>
    <row r="3" spans="1:17" x14ac:dyDescent="0.25">
      <c r="A3" s="6" t="s">
        <v>53</v>
      </c>
      <c r="B3" s="4" t="s">
        <v>67</v>
      </c>
      <c r="C3" s="18"/>
      <c r="D3" s="18"/>
      <c r="E3" s="18"/>
      <c r="F3" s="18"/>
      <c r="G3" s="18"/>
      <c r="H3" s="18"/>
      <c r="I3" s="18"/>
      <c r="J3" s="18"/>
      <c r="K3" s="18"/>
      <c r="O3" s="18"/>
      <c r="P3" s="94"/>
      <c r="Q3" s="94"/>
    </row>
    <row r="4" spans="1:17" x14ac:dyDescent="0.25">
      <c r="A4" s="5" t="s">
        <v>36</v>
      </c>
      <c r="B4" s="17"/>
      <c r="C4" s="18"/>
      <c r="D4" s="18"/>
      <c r="E4" s="18"/>
      <c r="F4" s="18"/>
      <c r="G4" s="18"/>
      <c r="H4" s="18"/>
      <c r="I4" s="18"/>
      <c r="J4" s="18"/>
      <c r="K4" s="18"/>
      <c r="O4" s="18"/>
      <c r="P4" s="94"/>
      <c r="Q4" s="94"/>
    </row>
    <row r="5" spans="1:17" x14ac:dyDescent="0.25">
      <c r="A5" s="6" t="s">
        <v>77</v>
      </c>
      <c r="B5" s="4"/>
      <c r="C5" s="18"/>
      <c r="D5" s="18"/>
      <c r="E5" s="18"/>
      <c r="F5" s="18"/>
      <c r="G5" s="18"/>
      <c r="H5" s="18"/>
      <c r="I5" s="18"/>
      <c r="J5" s="18"/>
      <c r="K5" s="18"/>
      <c r="O5" s="18"/>
      <c r="P5" s="94"/>
      <c r="Q5" s="94"/>
    </row>
    <row r="6" spans="1:17" x14ac:dyDescent="0.25">
      <c r="A6" s="6"/>
      <c r="B6" s="4"/>
      <c r="C6" s="18"/>
      <c r="D6" s="18"/>
      <c r="E6" s="18"/>
      <c r="F6" s="18"/>
      <c r="G6" s="18"/>
      <c r="H6" s="18"/>
      <c r="I6" s="18"/>
      <c r="J6" s="18"/>
      <c r="K6" s="18"/>
      <c r="O6" s="18"/>
      <c r="P6" s="94"/>
      <c r="Q6" s="94"/>
    </row>
    <row r="7" spans="1:17" x14ac:dyDescent="0.25">
      <c r="A7" s="23"/>
      <c r="B7" s="24"/>
      <c r="C7" s="19"/>
      <c r="D7" s="19"/>
      <c r="E7" s="19"/>
      <c r="F7" s="19"/>
      <c r="G7" s="19"/>
      <c r="H7" s="19"/>
      <c r="I7" s="19"/>
      <c r="J7" s="19"/>
      <c r="K7" s="19"/>
      <c r="L7" s="95"/>
      <c r="M7" s="96"/>
      <c r="N7" s="96"/>
      <c r="O7" s="19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97" t="s">
        <v>39</v>
      </c>
      <c r="D8" s="97" t="s">
        <v>40</v>
      </c>
      <c r="E8" s="97" t="s">
        <v>41</v>
      </c>
      <c r="F8" s="97" t="s">
        <v>2</v>
      </c>
      <c r="G8" s="97" t="s">
        <v>42</v>
      </c>
      <c r="H8" s="97" t="s">
        <v>43</v>
      </c>
      <c r="I8" s="97" t="s">
        <v>44</v>
      </c>
      <c r="J8" s="97" t="s">
        <v>45</v>
      </c>
      <c r="K8" s="97" t="s">
        <v>46</v>
      </c>
      <c r="L8" s="97" t="s">
        <v>47</v>
      </c>
      <c r="M8" s="97" t="s">
        <v>48</v>
      </c>
      <c r="N8" s="97" t="s">
        <v>49</v>
      </c>
      <c r="O8" s="97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123">
        <f>Q9</f>
        <v>0</v>
      </c>
      <c r="Q9" s="123"/>
    </row>
    <row r="10" spans="1:17" ht="20.100000000000001" customHeight="1" x14ac:dyDescent="0.25">
      <c r="A10" s="30">
        <v>2</v>
      </c>
      <c r="B10" s="31" t="s">
        <v>10</v>
      </c>
      <c r="C10" s="99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123">
        <v>0</v>
      </c>
      <c r="Q10" s="110">
        <v>0</v>
      </c>
    </row>
    <row r="11" spans="1:17" ht="20.100000000000001" customHeight="1" x14ac:dyDescent="0.25">
      <c r="A11" s="30">
        <v>3</v>
      </c>
      <c r="B11" s="31" t="s">
        <v>11</v>
      </c>
      <c r="C11" s="99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123">
        <v>0</v>
      </c>
      <c r="Q11" s="110">
        <v>0</v>
      </c>
    </row>
    <row r="12" spans="1:17" ht="20.100000000000001" customHeight="1" x14ac:dyDescent="0.25">
      <c r="A12" s="30">
        <v>4</v>
      </c>
      <c r="B12" s="31" t="s">
        <v>12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123">
        <v>0</v>
      </c>
      <c r="Q12" s="110">
        <v>0</v>
      </c>
    </row>
    <row r="13" spans="1:17" ht="20.100000000000001" customHeight="1" x14ac:dyDescent="0.25">
      <c r="A13" s="30">
        <v>5</v>
      </c>
      <c r="B13" s="31" t="s">
        <v>13</v>
      </c>
      <c r="C13" s="99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123">
        <v>0</v>
      </c>
      <c r="Q13" s="110">
        <v>0</v>
      </c>
    </row>
    <row r="14" spans="1:17" s="2" customFormat="1" ht="30" x14ac:dyDescent="0.25">
      <c r="A14" s="34">
        <v>6</v>
      </c>
      <c r="B14" s="35" t="s">
        <v>14</v>
      </c>
      <c r="C14" s="99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124"/>
      <c r="P14" s="123">
        <v>0</v>
      </c>
      <c r="Q14" s="125">
        <v>0</v>
      </c>
    </row>
    <row r="15" spans="1:17" ht="20.100000000000001" customHeight="1" x14ac:dyDescent="0.25">
      <c r="A15" s="30">
        <v>7</v>
      </c>
      <c r="B15" s="31" t="s">
        <v>15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1"/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99"/>
      <c r="D16" s="99"/>
      <c r="E16" s="99"/>
      <c r="F16" s="99"/>
      <c r="G16" s="99"/>
      <c r="H16" s="99"/>
      <c r="I16" s="99"/>
      <c r="J16" s="99"/>
      <c r="K16" s="102"/>
      <c r="L16" s="102"/>
      <c r="M16" s="102"/>
      <c r="N16" s="102"/>
      <c r="O16" s="98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103">
        <f t="shared" ref="C17:N17" si="0">C15+C16</f>
        <v>0</v>
      </c>
      <c r="D17" s="103">
        <f t="shared" si="0"/>
        <v>0</v>
      </c>
      <c r="E17" s="103">
        <f t="shared" si="0"/>
        <v>0</v>
      </c>
      <c r="F17" s="103">
        <f t="shared" si="0"/>
        <v>0</v>
      </c>
      <c r="G17" s="103">
        <f t="shared" si="0"/>
        <v>0</v>
      </c>
      <c r="H17" s="103">
        <f t="shared" si="0"/>
        <v>0</v>
      </c>
      <c r="I17" s="103">
        <f t="shared" si="0"/>
        <v>0</v>
      </c>
      <c r="J17" s="103">
        <f t="shared" si="0"/>
        <v>0</v>
      </c>
      <c r="K17" s="103">
        <f t="shared" si="0"/>
        <v>0</v>
      </c>
      <c r="L17" s="103">
        <f>L15+L16</f>
        <v>0</v>
      </c>
      <c r="M17" s="103">
        <f t="shared" si="0"/>
        <v>0</v>
      </c>
      <c r="N17" s="103">
        <f t="shared" si="0"/>
        <v>0</v>
      </c>
      <c r="O17" s="10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99"/>
      <c r="D18" s="99"/>
      <c r="E18" s="99"/>
      <c r="F18" s="99"/>
      <c r="G18" s="99"/>
      <c r="H18" s="99"/>
      <c r="I18" s="99"/>
      <c r="J18" s="99"/>
      <c r="K18" s="102"/>
      <c r="L18" s="102"/>
      <c r="M18" s="102"/>
      <c r="N18" s="102"/>
      <c r="O18" s="98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100">
        <f>IF(C17*5%&lt;500000,C17*5%,500000)</f>
        <v>0</v>
      </c>
      <c r="D19" s="100">
        <f t="shared" ref="D19:N19" si="1">IF(D17*5%&lt;500000,D17*5%,500000)</f>
        <v>0</v>
      </c>
      <c r="E19" s="100">
        <f t="shared" si="1"/>
        <v>0</v>
      </c>
      <c r="F19" s="100">
        <f t="shared" si="1"/>
        <v>0</v>
      </c>
      <c r="G19" s="100">
        <f t="shared" si="1"/>
        <v>0</v>
      </c>
      <c r="H19" s="100">
        <f t="shared" si="1"/>
        <v>0</v>
      </c>
      <c r="I19" s="100">
        <f t="shared" si="1"/>
        <v>0</v>
      </c>
      <c r="J19" s="100">
        <f t="shared" si="1"/>
        <v>0</v>
      </c>
      <c r="K19" s="100">
        <f t="shared" si="1"/>
        <v>0</v>
      </c>
      <c r="L19" s="100">
        <f>IF(L17*5%&lt;500000,L17*5%,500000)</f>
        <v>0</v>
      </c>
      <c r="M19" s="100">
        <f t="shared" si="1"/>
        <v>0</v>
      </c>
      <c r="N19" s="100">
        <f t="shared" si="1"/>
        <v>0</v>
      </c>
      <c r="O19" s="98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99"/>
      <c r="D20" s="99"/>
      <c r="E20" s="99"/>
      <c r="F20" s="99"/>
      <c r="G20" s="99"/>
      <c r="H20" s="99"/>
      <c r="I20" s="99"/>
      <c r="J20" s="99"/>
      <c r="K20" s="102"/>
      <c r="L20" s="102"/>
      <c r="M20" s="102"/>
      <c r="N20" s="102"/>
      <c r="O20" s="98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8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100">
        <f t="shared" ref="C22:N22" si="2">SUM(C19:C21)</f>
        <v>0</v>
      </c>
      <c r="D22" s="100">
        <f t="shared" si="2"/>
        <v>0</v>
      </c>
      <c r="E22" s="100">
        <f t="shared" si="2"/>
        <v>0</v>
      </c>
      <c r="F22" s="100">
        <f t="shared" si="2"/>
        <v>0</v>
      </c>
      <c r="G22" s="100">
        <f t="shared" si="2"/>
        <v>0</v>
      </c>
      <c r="H22" s="100">
        <f t="shared" si="2"/>
        <v>0</v>
      </c>
      <c r="I22" s="100">
        <f t="shared" si="2"/>
        <v>0</v>
      </c>
      <c r="J22" s="100">
        <f t="shared" si="2"/>
        <v>0</v>
      </c>
      <c r="K22" s="100">
        <f t="shared" si="2"/>
        <v>0</v>
      </c>
      <c r="L22" s="100">
        <f>SUM(L19:L21)</f>
        <v>0</v>
      </c>
      <c r="M22" s="100">
        <f t="shared" si="2"/>
        <v>0</v>
      </c>
      <c r="N22" s="100">
        <f t="shared" si="2"/>
        <v>0</v>
      </c>
      <c r="O22" s="105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99"/>
      <c r="D23" s="99"/>
      <c r="E23" s="99"/>
      <c r="F23" s="99"/>
      <c r="G23" s="99"/>
      <c r="H23" s="99"/>
      <c r="I23" s="99"/>
      <c r="J23" s="99"/>
      <c r="K23" s="102"/>
      <c r="L23" s="102"/>
      <c r="M23" s="102"/>
      <c r="N23" s="102"/>
      <c r="O23" s="98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103">
        <f t="shared" ref="C24:N24" si="3">C17-C22</f>
        <v>0</v>
      </c>
      <c r="D24" s="103">
        <f t="shared" si="3"/>
        <v>0</v>
      </c>
      <c r="E24" s="103">
        <f t="shared" si="3"/>
        <v>0</v>
      </c>
      <c r="F24" s="103">
        <f t="shared" si="3"/>
        <v>0</v>
      </c>
      <c r="G24" s="103">
        <f t="shared" si="3"/>
        <v>0</v>
      </c>
      <c r="H24" s="103">
        <f t="shared" si="3"/>
        <v>0</v>
      </c>
      <c r="I24" s="103">
        <f t="shared" si="3"/>
        <v>0</v>
      </c>
      <c r="J24" s="103">
        <f t="shared" si="3"/>
        <v>0</v>
      </c>
      <c r="K24" s="103">
        <f t="shared" si="3"/>
        <v>0</v>
      </c>
      <c r="L24" s="103">
        <f>L17-L22</f>
        <v>0</v>
      </c>
      <c r="M24" s="103">
        <f t="shared" si="3"/>
        <v>0</v>
      </c>
      <c r="N24" s="103">
        <f t="shared" si="3"/>
        <v>0</v>
      </c>
      <c r="O24" s="10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99"/>
      <c r="D25" s="99"/>
      <c r="E25" s="99"/>
      <c r="F25" s="99"/>
      <c r="G25" s="99"/>
      <c r="H25" s="99"/>
      <c r="I25" s="99"/>
      <c r="J25" s="99"/>
      <c r="K25" s="102"/>
      <c r="L25" s="102"/>
      <c r="M25" s="102"/>
      <c r="N25" s="102"/>
      <c r="O25" s="98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106">
        <f>ROUNDDOWN(SUM(C24)*12/1,-3)</f>
        <v>0</v>
      </c>
      <c r="D26" s="106">
        <f>ROUNDDOWN(SUM(C24:D24)*12/2,-3)</f>
        <v>0</v>
      </c>
      <c r="E26" s="106">
        <f>ROUNDDOWN(SUM(C24:E24)*12/3,-3)</f>
        <v>0</v>
      </c>
      <c r="F26" s="106">
        <f>ROUNDDOWN(SUM(C24:F24)*12/4,-3)</f>
        <v>0</v>
      </c>
      <c r="G26" s="106">
        <f>ROUNDDOWN(SUM(C24:G24)*12/5,-3)</f>
        <v>0</v>
      </c>
      <c r="H26" s="106">
        <f>ROUNDDOWN(SUM(C24:H24)*12/6,-3)</f>
        <v>0</v>
      </c>
      <c r="I26" s="106">
        <f>ROUNDDOWN(SUM(C24:I24)*12/7,-3)</f>
        <v>0</v>
      </c>
      <c r="J26" s="106">
        <f>ROUNDDOWN(SUM(C24:J24)*12/8,-3)</f>
        <v>0</v>
      </c>
      <c r="K26" s="106">
        <f>ROUNDDOWN(SUM(C24:K24)*12/9,-3)</f>
        <v>0</v>
      </c>
      <c r="L26" s="106">
        <f>ROUNDDOWN(SUM(C24:L24)*12/10,-3)</f>
        <v>0</v>
      </c>
      <c r="M26" s="106">
        <f>ROUNDDOWN(SUM(C24:M24)*12/11,-3)</f>
        <v>0</v>
      </c>
      <c r="N26" s="106">
        <f>ROUNDDOWN(SUM(C24:N24)*12/12,-3)</f>
        <v>0</v>
      </c>
      <c r="O26" s="107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103">
        <v>54000000</v>
      </c>
      <c r="D27" s="103">
        <f>C27</f>
        <v>54000000</v>
      </c>
      <c r="E27" s="103">
        <f t="shared" ref="E27:P27" si="4">D27</f>
        <v>54000000</v>
      </c>
      <c r="F27" s="103">
        <f t="shared" si="4"/>
        <v>54000000</v>
      </c>
      <c r="G27" s="103">
        <f t="shared" si="4"/>
        <v>54000000</v>
      </c>
      <c r="H27" s="103">
        <f>G27</f>
        <v>54000000</v>
      </c>
      <c r="I27" s="103">
        <f t="shared" si="4"/>
        <v>54000000</v>
      </c>
      <c r="J27" s="103">
        <f t="shared" si="4"/>
        <v>54000000</v>
      </c>
      <c r="K27" s="103">
        <f t="shared" si="4"/>
        <v>54000000</v>
      </c>
      <c r="L27" s="103">
        <f t="shared" si="4"/>
        <v>54000000</v>
      </c>
      <c r="M27" s="103">
        <f t="shared" si="4"/>
        <v>54000000</v>
      </c>
      <c r="N27" s="103">
        <f>M27</f>
        <v>54000000</v>
      </c>
      <c r="O27" s="103">
        <f>N27</f>
        <v>54000000</v>
      </c>
      <c r="P27" s="103">
        <f t="shared" si="4"/>
        <v>54000000</v>
      </c>
      <c r="Q27" s="103">
        <v>54000000</v>
      </c>
    </row>
    <row r="28" spans="1:22" ht="20.100000000000001" customHeight="1" x14ac:dyDescent="0.25">
      <c r="A28" s="30">
        <v>18</v>
      </c>
      <c r="B28" s="31" t="s">
        <v>28</v>
      </c>
      <c r="C28" s="101">
        <f>ROUNDDOWN(IF(C26&lt;=C27,0,IF(C26&gt;C27,C26-C27)),-3)</f>
        <v>0</v>
      </c>
      <c r="D28" s="101">
        <f t="shared" ref="D28:Q28" si="5">ROUNDDOWN(IF(D26&lt;=D27,0,IF(D26&gt;D27,D26-D27)),-3)</f>
        <v>0</v>
      </c>
      <c r="E28" s="101">
        <f t="shared" si="5"/>
        <v>0</v>
      </c>
      <c r="F28" s="101">
        <f t="shared" si="5"/>
        <v>0</v>
      </c>
      <c r="G28" s="101">
        <f t="shared" si="5"/>
        <v>0</v>
      </c>
      <c r="H28" s="101">
        <f t="shared" si="5"/>
        <v>0</v>
      </c>
      <c r="I28" s="101">
        <f t="shared" si="5"/>
        <v>0</v>
      </c>
      <c r="J28" s="101">
        <f t="shared" si="5"/>
        <v>0</v>
      </c>
      <c r="K28" s="101">
        <f t="shared" si="5"/>
        <v>0</v>
      </c>
      <c r="L28" s="101">
        <f t="shared" si="5"/>
        <v>0</v>
      </c>
      <c r="M28" s="101">
        <f t="shared" si="5"/>
        <v>0</v>
      </c>
      <c r="N28" s="101">
        <f t="shared" si="5"/>
        <v>0</v>
      </c>
      <c r="O28" s="101">
        <f t="shared" si="5"/>
        <v>0</v>
      </c>
      <c r="P28" s="103">
        <f t="shared" si="5"/>
        <v>0</v>
      </c>
      <c r="Q28" s="103">
        <f t="shared" si="5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100">
        <f>IF(C28&lt;0,0,IF(C28&lt;50000000,C28*5%,IF(C28&lt;250000000,(C28-50000000)*15%+2500000,IF(C28&lt;500000000,(C28-250000000)*25%+32500000,IF(C28&gt;500000000,(C28-500000000)*30%+95000000)))))</f>
        <v>0</v>
      </c>
      <c r="D29" s="100">
        <f t="shared" ref="D29:O29" si="6">IF(D28&lt;0,0,IF(D28&lt;50000000,D28*5%,IF(D28&lt;250000000,(D28-50000000)*15%+2500000,IF(D28&lt;500000000,(D28-250000000)*25%+32500000,IF(D28&gt;500000000,(D28-500000000)*30%+95000000)))))</f>
        <v>0</v>
      </c>
      <c r="E29" s="100">
        <f t="shared" si="6"/>
        <v>0</v>
      </c>
      <c r="F29" s="100">
        <f t="shared" si="6"/>
        <v>0</v>
      </c>
      <c r="G29" s="100">
        <f t="shared" si="6"/>
        <v>0</v>
      </c>
      <c r="H29" s="100">
        <f t="shared" si="6"/>
        <v>0</v>
      </c>
      <c r="I29" s="100">
        <f t="shared" si="6"/>
        <v>0</v>
      </c>
      <c r="J29" s="100">
        <f t="shared" si="6"/>
        <v>0</v>
      </c>
      <c r="K29" s="100">
        <f t="shared" si="6"/>
        <v>0</v>
      </c>
      <c r="L29" s="100">
        <f t="shared" si="6"/>
        <v>0</v>
      </c>
      <c r="M29" s="100">
        <f t="shared" si="6"/>
        <v>0</v>
      </c>
      <c r="N29" s="100">
        <f t="shared" si="6"/>
        <v>0</v>
      </c>
      <c r="O29" s="100">
        <f t="shared" si="6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99"/>
      <c r="D30" s="99"/>
      <c r="E30" s="99"/>
      <c r="F30" s="99"/>
      <c r="G30" s="99"/>
      <c r="H30" s="99"/>
      <c r="I30" s="99"/>
      <c r="J30" s="99"/>
      <c r="K30" s="102"/>
      <c r="L30" s="102"/>
      <c r="M30" s="102"/>
      <c r="N30" s="102"/>
      <c r="O30" s="101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103">
        <f>C29-C30</f>
        <v>0</v>
      </c>
      <c r="D31" s="103">
        <f t="shared" ref="D31:N31" si="7">D29-D30</f>
        <v>0</v>
      </c>
      <c r="E31" s="103">
        <f t="shared" si="7"/>
        <v>0</v>
      </c>
      <c r="F31" s="103">
        <f t="shared" si="7"/>
        <v>0</v>
      </c>
      <c r="G31" s="103">
        <f t="shared" si="7"/>
        <v>0</v>
      </c>
      <c r="H31" s="103">
        <f t="shared" si="7"/>
        <v>0</v>
      </c>
      <c r="I31" s="103">
        <f t="shared" si="7"/>
        <v>0</v>
      </c>
      <c r="J31" s="103">
        <f t="shared" si="7"/>
        <v>0</v>
      </c>
      <c r="K31" s="103">
        <f t="shared" si="7"/>
        <v>0</v>
      </c>
      <c r="L31" s="103">
        <f t="shared" si="7"/>
        <v>0</v>
      </c>
      <c r="M31" s="103">
        <f t="shared" si="7"/>
        <v>0</v>
      </c>
      <c r="N31" s="103">
        <f t="shared" si="7"/>
        <v>0</v>
      </c>
      <c r="O31" s="103">
        <f>O29</f>
        <v>0</v>
      </c>
      <c r="P31" s="103">
        <f>P29+P30</f>
        <v>0</v>
      </c>
      <c r="Q31" s="103">
        <f>Q29+Q30</f>
        <v>0</v>
      </c>
      <c r="R31" s="130"/>
      <c r="S31" s="130"/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(G31/12*5*120%-SUM(C32:F32))+P33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v>0</v>
      </c>
      <c r="Q32" s="108">
        <f>Q31/12</f>
        <v>0</v>
      </c>
      <c r="R32" s="131"/>
    </row>
    <row r="33" spans="1:17" s="60" customFormat="1" ht="20.100000000000001" customHeight="1" x14ac:dyDescent="0.25">
      <c r="A33" s="57"/>
      <c r="B33" s="58" t="s">
        <v>81</v>
      </c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9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99"/>
      <c r="D34" s="99"/>
      <c r="E34" s="99"/>
      <c r="F34" s="99"/>
      <c r="G34" s="99"/>
      <c r="H34" s="99"/>
      <c r="I34" s="99"/>
      <c r="J34" s="99"/>
      <c r="K34" s="102"/>
      <c r="L34" s="102"/>
      <c r="M34" s="102"/>
      <c r="N34" s="111"/>
      <c r="O34" s="112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99"/>
      <c r="D35" s="99"/>
      <c r="E35" s="99"/>
      <c r="F35" s="99"/>
      <c r="G35" s="99"/>
      <c r="H35" s="99"/>
      <c r="I35" s="99"/>
      <c r="J35" s="99"/>
      <c r="K35" s="102"/>
      <c r="L35" s="102"/>
      <c r="M35" s="102"/>
      <c r="N35" s="111"/>
      <c r="O35" s="112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99"/>
      <c r="D36" s="99"/>
      <c r="E36" s="99"/>
      <c r="F36" s="99"/>
      <c r="G36" s="99"/>
      <c r="H36" s="99"/>
      <c r="I36" s="99"/>
      <c r="J36" s="99"/>
      <c r="K36" s="102"/>
      <c r="L36" s="102"/>
      <c r="M36" s="102"/>
      <c r="N36" s="111"/>
      <c r="O36" s="112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113">
        <f t="shared" ref="C37:J37" si="8">C17-C21-C32</f>
        <v>0</v>
      </c>
      <c r="D37" s="113">
        <f t="shared" si="8"/>
        <v>0</v>
      </c>
      <c r="E37" s="113">
        <f t="shared" si="8"/>
        <v>0</v>
      </c>
      <c r="F37" s="113">
        <f t="shared" si="8"/>
        <v>0</v>
      </c>
      <c r="G37" s="113">
        <f t="shared" si="8"/>
        <v>0</v>
      </c>
      <c r="H37" s="113">
        <f t="shared" si="8"/>
        <v>0</v>
      </c>
      <c r="I37" s="113">
        <f t="shared" si="8"/>
        <v>0</v>
      </c>
      <c r="J37" s="113">
        <f t="shared" si="8"/>
        <v>0</v>
      </c>
      <c r="K37" s="113">
        <f>K17-K21-K32</f>
        <v>0</v>
      </c>
      <c r="L37" s="113">
        <f>L17-L21-L32</f>
        <v>0</v>
      </c>
      <c r="M37" s="113">
        <f>M17-M21-M32</f>
        <v>0</v>
      </c>
      <c r="N37" s="113">
        <f>N17-N21-N32</f>
        <v>0</v>
      </c>
      <c r="O37" s="113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C38" s="18"/>
      <c r="D38" s="18"/>
      <c r="E38" s="18"/>
      <c r="F38" s="18"/>
      <c r="G38" s="18"/>
      <c r="H38" s="18"/>
      <c r="I38" s="18"/>
      <c r="J38" s="18"/>
      <c r="K38" s="18"/>
      <c r="O38" s="18"/>
      <c r="P38" s="114"/>
      <c r="Q38" s="114"/>
    </row>
    <row r="39" spans="1:17" s="62" customFormat="1" x14ac:dyDescent="0.25">
      <c r="B39" s="63" t="s">
        <v>65</v>
      </c>
      <c r="C39" s="115" t="s">
        <v>66</v>
      </c>
      <c r="D39" s="116"/>
      <c r="E39" s="116"/>
      <c r="F39" s="116"/>
      <c r="G39" s="116"/>
      <c r="H39" s="116"/>
      <c r="I39" s="116"/>
      <c r="J39" s="116"/>
      <c r="K39" s="116"/>
      <c r="L39" s="117"/>
      <c r="M39" s="117"/>
      <c r="N39" s="117"/>
      <c r="O39" s="116"/>
      <c r="P39" s="118"/>
      <c r="Q39" s="118"/>
    </row>
    <row r="40" spans="1:17" x14ac:dyDescent="0.25">
      <c r="B40" s="8" t="s">
        <v>67</v>
      </c>
      <c r="C40" s="127">
        <v>54000000</v>
      </c>
    </row>
    <row r="41" spans="1:17" x14ac:dyDescent="0.25">
      <c r="B41" s="8" t="s">
        <v>93</v>
      </c>
      <c r="C41" s="127">
        <v>58500000</v>
      </c>
    </row>
    <row r="42" spans="1:17" x14ac:dyDescent="0.25">
      <c r="B42" s="8" t="s">
        <v>94</v>
      </c>
      <c r="C42" s="127">
        <v>63000000</v>
      </c>
    </row>
    <row r="43" spans="1:17" x14ac:dyDescent="0.25">
      <c r="B43" s="8" t="s">
        <v>95</v>
      </c>
      <c r="C43" s="127">
        <v>67500000</v>
      </c>
    </row>
    <row r="44" spans="1:17" x14ac:dyDescent="0.25">
      <c r="B44" s="8" t="s">
        <v>68</v>
      </c>
      <c r="C44" s="127">
        <v>58500000</v>
      </c>
    </row>
    <row r="45" spans="1:17" x14ac:dyDescent="0.25">
      <c r="B45" s="8" t="s">
        <v>69</v>
      </c>
      <c r="C45" s="127">
        <v>63000000</v>
      </c>
    </row>
    <row r="46" spans="1:17" x14ac:dyDescent="0.25">
      <c r="B46" s="8" t="s">
        <v>50</v>
      </c>
      <c r="C46" s="127">
        <v>67500000</v>
      </c>
    </row>
    <row r="47" spans="1:17" x14ac:dyDescent="0.25">
      <c r="B47" s="8" t="s">
        <v>64</v>
      </c>
      <c r="C47" s="127">
        <v>72000000</v>
      </c>
    </row>
    <row r="48" spans="1:17" x14ac:dyDescent="0.25">
      <c r="B48" s="8" t="s">
        <v>96</v>
      </c>
      <c r="C48" s="127">
        <v>112500000</v>
      </c>
    </row>
    <row r="49" spans="2:17" x14ac:dyDescent="0.25">
      <c r="B49" s="8" t="s">
        <v>97</v>
      </c>
      <c r="C49" s="127">
        <v>117000000</v>
      </c>
    </row>
    <row r="50" spans="2:17" x14ac:dyDescent="0.25">
      <c r="B50" s="8" t="s">
        <v>98</v>
      </c>
      <c r="C50" s="127">
        <v>121500000</v>
      </c>
    </row>
    <row r="51" spans="2:17" x14ac:dyDescent="0.25">
      <c r="B51" s="8" t="s">
        <v>99</v>
      </c>
      <c r="C51" s="127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12:D12 D13:D14 P9:Q9 E10:N14 D10:D11 P10:P14 C9:N9" xr:uid="{00000000-0002-0000-0400-000000000000}"/>
  </dataValidations>
  <pageMargins left="0.7" right="0.7" top="0.75" bottom="0.75" header="0.3" footer="0.3"/>
  <pageSetup paperSize="9" orientation="portrait" horizontalDpi="360" verticalDpi="36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10"/>
  <dimension ref="A1:V59"/>
  <sheetViews>
    <sheetView topLeftCell="E1" zoomScale="55" workbookViewId="0">
      <selection activeCell="O32" sqref="O32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3500000</v>
      </c>
      <c r="D13" s="92">
        <v>3500000</v>
      </c>
      <c r="E13" s="162">
        <v>3500000</v>
      </c>
      <c r="F13" s="92">
        <v>3500000</v>
      </c>
      <c r="G13" s="92">
        <v>3500000</v>
      </c>
      <c r="H13" s="92">
        <v>3650000</v>
      </c>
      <c r="I13" s="92">
        <v>3700000</v>
      </c>
      <c r="J13" s="92">
        <v>3500000</v>
      </c>
      <c r="K13" s="92">
        <v>3600000</v>
      </c>
      <c r="L13" s="92">
        <v>3600000</v>
      </c>
      <c r="M13" s="92">
        <v>3600000</v>
      </c>
      <c r="N13" s="92">
        <v>3550000</v>
      </c>
      <c r="O13" s="32">
        <f>SUM(C13:N13)</f>
        <v>42700000</v>
      </c>
      <c r="P13" s="123">
        <f t="shared" ref="P13:P18" si="1">Q13</f>
        <v>42000000</v>
      </c>
      <c r="Q13" s="123">
        <f>F13*12</f>
        <v>42000000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>
        <v>150000</v>
      </c>
      <c r="K16" s="92"/>
      <c r="L16" s="92"/>
      <c r="M16" s="92"/>
      <c r="N16" s="92"/>
      <c r="O16" s="32">
        <f>SUM(C16:N16)</f>
        <v>150000</v>
      </c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3500000</v>
      </c>
      <c r="D19" s="37">
        <f t="shared" si="3"/>
        <v>3500000</v>
      </c>
      <c r="E19" s="37">
        <f t="shared" si="3"/>
        <v>3500000</v>
      </c>
      <c r="F19" s="37">
        <f t="shared" si="3"/>
        <v>3500000</v>
      </c>
      <c r="G19" s="37">
        <f t="shared" si="3"/>
        <v>3500000</v>
      </c>
      <c r="H19" s="37">
        <f t="shared" si="3"/>
        <v>3650000</v>
      </c>
      <c r="I19" s="37">
        <f t="shared" si="3"/>
        <v>3700000</v>
      </c>
      <c r="J19" s="37">
        <f t="shared" si="3"/>
        <v>3650000</v>
      </c>
      <c r="K19" s="37">
        <f t="shared" si="3"/>
        <v>3600000</v>
      </c>
      <c r="L19" s="37">
        <f t="shared" si="3"/>
        <v>3600000</v>
      </c>
      <c r="M19" s="37">
        <f t="shared" si="3"/>
        <v>3600000</v>
      </c>
      <c r="N19" s="37">
        <f t="shared" si="3"/>
        <v>3550000</v>
      </c>
      <c r="O19" s="38">
        <f>SUM(O13:O18)</f>
        <v>42850000</v>
      </c>
      <c r="P19" s="103">
        <f>SUM(P13:P18)</f>
        <v>42000000</v>
      </c>
      <c r="Q19" s="103">
        <f>SUM(Q13:Q18)</f>
        <v>42000000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3500000</v>
      </c>
      <c r="P20" s="110">
        <v>3500000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3500000</v>
      </c>
      <c r="D21" s="259">
        <f t="shared" ref="D21:N21" si="4">D19+D20</f>
        <v>3500000</v>
      </c>
      <c r="E21" s="259">
        <f t="shared" si="4"/>
        <v>3500000</v>
      </c>
      <c r="F21" s="259">
        <f t="shared" si="4"/>
        <v>3500000</v>
      </c>
      <c r="G21" s="259">
        <f>G19+G20</f>
        <v>3500000</v>
      </c>
      <c r="H21" s="259">
        <f t="shared" si="4"/>
        <v>3650000</v>
      </c>
      <c r="I21" s="259">
        <f t="shared" si="4"/>
        <v>3700000</v>
      </c>
      <c r="J21" s="259">
        <f t="shared" si="4"/>
        <v>3650000</v>
      </c>
      <c r="K21" s="259">
        <f t="shared" si="4"/>
        <v>3600000</v>
      </c>
      <c r="L21" s="259">
        <f t="shared" si="4"/>
        <v>3600000</v>
      </c>
      <c r="M21" s="259">
        <f t="shared" si="4"/>
        <v>3600000</v>
      </c>
      <c r="N21" s="259">
        <f t="shared" si="4"/>
        <v>3550000</v>
      </c>
      <c r="O21" s="259">
        <f>O19+O20</f>
        <v>46350000</v>
      </c>
      <c r="P21" s="103">
        <f>P19+P20</f>
        <v>45500000</v>
      </c>
      <c r="Q21" s="103">
        <f>Q19+Q20</f>
        <v>42000000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175000</v>
      </c>
      <c r="D23" s="257">
        <f t="shared" ref="D23:O23" si="5">IF(D21*5%&lt;500000,D21*5%,500000)</f>
        <v>175000</v>
      </c>
      <c r="E23" s="257">
        <f t="shared" si="5"/>
        <v>175000</v>
      </c>
      <c r="F23" s="257">
        <f t="shared" si="5"/>
        <v>175000</v>
      </c>
      <c r="G23" s="257">
        <f>IF(G21*5%&lt;500000,G21*5%,500000)</f>
        <v>175000</v>
      </c>
      <c r="H23" s="257">
        <f t="shared" si="5"/>
        <v>182500</v>
      </c>
      <c r="I23" s="257">
        <f t="shared" si="5"/>
        <v>185000</v>
      </c>
      <c r="J23" s="257">
        <f t="shared" si="5"/>
        <v>182500</v>
      </c>
      <c r="K23" s="257">
        <f t="shared" si="5"/>
        <v>180000</v>
      </c>
      <c r="L23" s="257">
        <f t="shared" si="5"/>
        <v>180000</v>
      </c>
      <c r="M23" s="257">
        <f t="shared" si="5"/>
        <v>180000</v>
      </c>
      <c r="N23" s="257">
        <f t="shared" si="5"/>
        <v>177500</v>
      </c>
      <c r="O23" s="257">
        <f>IF(O21*5%&lt;6000000,O21*5%,6000000)</f>
        <v>2317500</v>
      </c>
      <c r="P23" s="110">
        <f>IF(P21*5%&lt;6000000,P21*5%,6000000)</f>
        <v>2275000</v>
      </c>
      <c r="Q23" s="110">
        <f>IF(Q21*5%&lt;6000000,Q21*5%,6000000)</f>
        <v>2100000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175000</v>
      </c>
      <c r="D26" s="257">
        <f t="shared" si="6"/>
        <v>175000</v>
      </c>
      <c r="E26" s="257">
        <f t="shared" si="6"/>
        <v>175000</v>
      </c>
      <c r="F26" s="257">
        <f t="shared" si="6"/>
        <v>175000</v>
      </c>
      <c r="G26" s="257">
        <f>SUM(G23:G25)</f>
        <v>175000</v>
      </c>
      <c r="H26" s="257">
        <f t="shared" si="6"/>
        <v>182500</v>
      </c>
      <c r="I26" s="257">
        <f t="shared" si="6"/>
        <v>185000</v>
      </c>
      <c r="J26" s="257">
        <f t="shared" si="6"/>
        <v>182500</v>
      </c>
      <c r="K26" s="257">
        <f t="shared" si="6"/>
        <v>180000</v>
      </c>
      <c r="L26" s="257">
        <f t="shared" si="6"/>
        <v>180000</v>
      </c>
      <c r="M26" s="257">
        <f t="shared" si="6"/>
        <v>180000</v>
      </c>
      <c r="N26" s="257">
        <f t="shared" si="6"/>
        <v>177500</v>
      </c>
      <c r="O26" s="263">
        <f>SUM(O22:O25)</f>
        <v>2317500</v>
      </c>
      <c r="P26" s="103">
        <f>SUM(P23:P25)</f>
        <v>2275000</v>
      </c>
      <c r="Q26" s="103">
        <f>SUM(Q23:Q25)</f>
        <v>2100000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3325000</v>
      </c>
      <c r="D28" s="255">
        <f t="shared" ref="D28:O28" si="7">D21-D26</f>
        <v>3325000</v>
      </c>
      <c r="E28" s="255">
        <f t="shared" si="7"/>
        <v>3325000</v>
      </c>
      <c r="F28" s="255">
        <f t="shared" si="7"/>
        <v>3325000</v>
      </c>
      <c r="G28" s="255">
        <f>G21-G26</f>
        <v>3325000</v>
      </c>
      <c r="H28" s="255">
        <f t="shared" si="7"/>
        <v>3467500</v>
      </c>
      <c r="I28" s="255">
        <f t="shared" si="7"/>
        <v>3515000</v>
      </c>
      <c r="J28" s="255">
        <f t="shared" si="7"/>
        <v>3467500</v>
      </c>
      <c r="K28" s="255">
        <f t="shared" si="7"/>
        <v>3420000</v>
      </c>
      <c r="L28" s="255">
        <f t="shared" si="7"/>
        <v>3420000</v>
      </c>
      <c r="M28" s="255">
        <f t="shared" si="7"/>
        <v>3420000</v>
      </c>
      <c r="N28" s="255">
        <f t="shared" si="7"/>
        <v>3372500</v>
      </c>
      <c r="O28" s="255">
        <f t="shared" si="7"/>
        <v>44032500</v>
      </c>
      <c r="P28" s="103">
        <f>P21-P26</f>
        <v>43225000</v>
      </c>
      <c r="Q28" s="103">
        <f>Q21-Q26</f>
        <v>39900000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39900000</v>
      </c>
      <c r="D30" s="253">
        <f>SUM(C28:D28)*D10/D11</f>
        <v>39900000</v>
      </c>
      <c r="E30" s="253">
        <f>SUM(C28:E28)*E10/E11</f>
        <v>39900000</v>
      </c>
      <c r="F30" s="253">
        <f>SUM(C28:F28)*F10/F11</f>
        <v>39900000</v>
      </c>
      <c r="G30" s="253">
        <f>SUM(C28:G28)*G10/G11</f>
        <v>39900000</v>
      </c>
      <c r="H30" s="253">
        <f>SUM(C28:H28)*H10/H11</f>
        <v>40185000</v>
      </c>
      <c r="I30" s="253">
        <f>SUM(C28:I28)*I10/I11</f>
        <v>40470000</v>
      </c>
      <c r="J30" s="253">
        <f>SUM(C28:J28)*J10/J11</f>
        <v>40612500</v>
      </c>
      <c r="K30" s="253">
        <f>SUM(C28:K28)*K10/K11</f>
        <v>40660000</v>
      </c>
      <c r="L30" s="253">
        <f>SUM(C28:L28)*L10/L11</f>
        <v>40698000</v>
      </c>
      <c r="M30" s="253">
        <f>SUM(C28:M28)*M10/M11</f>
        <v>40729090.909090906</v>
      </c>
      <c r="N30" s="253">
        <f>SUM(C28:N28)*N10/N11</f>
        <v>40707500</v>
      </c>
      <c r="O30" s="254">
        <f>O28</f>
        <v>44032500</v>
      </c>
      <c r="P30" s="108">
        <f>P28</f>
        <v>43225000</v>
      </c>
      <c r="Q30" s="108">
        <f>Q28</f>
        <v>39900000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3500000</v>
      </c>
      <c r="D41" s="50">
        <f t="shared" si="14"/>
        <v>3500000</v>
      </c>
      <c r="E41" s="50">
        <f t="shared" si="14"/>
        <v>3500000</v>
      </c>
      <c r="F41" s="50">
        <f t="shared" si="14"/>
        <v>3500000</v>
      </c>
      <c r="G41" s="50">
        <f t="shared" si="14"/>
        <v>3500000</v>
      </c>
      <c r="H41" s="50">
        <f t="shared" si="14"/>
        <v>3650000</v>
      </c>
      <c r="I41" s="50">
        <f t="shared" si="14"/>
        <v>3700000</v>
      </c>
      <c r="J41" s="50">
        <f t="shared" si="14"/>
        <v>3650000</v>
      </c>
      <c r="K41" s="50">
        <f>K21-K25-K36</f>
        <v>3600000</v>
      </c>
      <c r="L41" s="50">
        <f>L21-L25-L36</f>
        <v>3600000</v>
      </c>
      <c r="M41" s="50">
        <f>M21-M25-M36</f>
        <v>3600000</v>
      </c>
      <c r="N41" s="50">
        <f>N21-N25-N36</f>
        <v>3550000</v>
      </c>
      <c r="O41" s="50">
        <f>O21-O25-O36-O38</f>
        <v>46350000</v>
      </c>
      <c r="P41" s="126">
        <f>P21-P25-P36</f>
        <v>45500000</v>
      </c>
      <c r="Q41" s="126">
        <f>Q21-Q25-Q36</f>
        <v>42000000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3100-000000000000}"/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23"/>
  <dimension ref="A1:V59"/>
  <sheetViews>
    <sheetView topLeftCell="D1" zoomScale="55" workbookViewId="0">
      <selection activeCell="P39" sqref="P39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344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92">
        <v>4500000</v>
      </c>
      <c r="D13" s="92">
        <v>4500000</v>
      </c>
      <c r="E13" s="162">
        <v>4500000</v>
      </c>
      <c r="F13" s="92">
        <v>4500000</v>
      </c>
      <c r="G13" s="92">
        <v>4500000</v>
      </c>
      <c r="H13" s="92">
        <v>4500000</v>
      </c>
      <c r="I13" s="92">
        <v>4500000</v>
      </c>
      <c r="J13" s="92">
        <v>4500000</v>
      </c>
      <c r="K13" s="92">
        <v>4500000</v>
      </c>
      <c r="L13" s="92">
        <v>4500000</v>
      </c>
      <c r="M13" s="92">
        <v>4500000</v>
      </c>
      <c r="N13" s="92">
        <v>4500000</v>
      </c>
      <c r="O13" s="32">
        <f>SUM(C13:N13)</f>
        <v>54000000</v>
      </c>
      <c r="P13" s="123">
        <f t="shared" ref="P13:P18" si="1">Q13</f>
        <v>54000000</v>
      </c>
      <c r="Q13" s="123">
        <f>F13*12</f>
        <v>54000000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4500000</v>
      </c>
      <c r="D19" s="37">
        <f t="shared" si="3"/>
        <v>4500000</v>
      </c>
      <c r="E19" s="37">
        <f t="shared" si="3"/>
        <v>4500000</v>
      </c>
      <c r="F19" s="37">
        <f t="shared" si="3"/>
        <v>4500000</v>
      </c>
      <c r="G19" s="37">
        <f t="shared" si="3"/>
        <v>4500000</v>
      </c>
      <c r="H19" s="37">
        <f t="shared" si="3"/>
        <v>4500000</v>
      </c>
      <c r="I19" s="37">
        <f t="shared" si="3"/>
        <v>4500000</v>
      </c>
      <c r="J19" s="37">
        <f t="shared" si="3"/>
        <v>4500000</v>
      </c>
      <c r="K19" s="37">
        <f t="shared" si="3"/>
        <v>4500000</v>
      </c>
      <c r="L19" s="37">
        <f t="shared" si="3"/>
        <v>4500000</v>
      </c>
      <c r="M19" s="37">
        <f t="shared" si="3"/>
        <v>4500000</v>
      </c>
      <c r="N19" s="37">
        <f t="shared" si="3"/>
        <v>4500000</v>
      </c>
      <c r="O19" s="38">
        <f>SUM(O13:O18)</f>
        <v>54000000</v>
      </c>
      <c r="P19" s="103">
        <f>SUM(P13:P18)</f>
        <v>54000000</v>
      </c>
      <c r="Q19" s="103">
        <f>SUM(Q13:Q18)</f>
        <v>54000000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4150000</v>
      </c>
      <c r="P20" s="110">
        <v>4150000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4500000</v>
      </c>
      <c r="D21" s="259">
        <f t="shared" ref="D21:N21" si="4">D19+D20</f>
        <v>4500000</v>
      </c>
      <c r="E21" s="259">
        <f t="shared" si="4"/>
        <v>4500000</v>
      </c>
      <c r="F21" s="259">
        <f t="shared" si="4"/>
        <v>4500000</v>
      </c>
      <c r="G21" s="259">
        <f>G19+G20</f>
        <v>4500000</v>
      </c>
      <c r="H21" s="259">
        <f t="shared" si="4"/>
        <v>4500000</v>
      </c>
      <c r="I21" s="259">
        <f t="shared" si="4"/>
        <v>4500000</v>
      </c>
      <c r="J21" s="259">
        <f t="shared" si="4"/>
        <v>4500000</v>
      </c>
      <c r="K21" s="259">
        <f t="shared" si="4"/>
        <v>4500000</v>
      </c>
      <c r="L21" s="259">
        <f t="shared" si="4"/>
        <v>4500000</v>
      </c>
      <c r="M21" s="259">
        <f t="shared" si="4"/>
        <v>4500000</v>
      </c>
      <c r="N21" s="259">
        <f t="shared" si="4"/>
        <v>4500000</v>
      </c>
      <c r="O21" s="259">
        <f>O19+O20</f>
        <v>58150000</v>
      </c>
      <c r="P21" s="103">
        <f>P19+P20</f>
        <v>58150000</v>
      </c>
      <c r="Q21" s="103">
        <f>Q19+Q20</f>
        <v>54000000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225000</v>
      </c>
      <c r="D23" s="257">
        <f t="shared" ref="D23:O23" si="5">IF(D21*5%&lt;500000,D21*5%,500000)</f>
        <v>225000</v>
      </c>
      <c r="E23" s="257">
        <f t="shared" si="5"/>
        <v>225000</v>
      </c>
      <c r="F23" s="257">
        <f t="shared" si="5"/>
        <v>225000</v>
      </c>
      <c r="G23" s="257">
        <f>IF(G21*5%&lt;500000,G21*5%,500000)</f>
        <v>225000</v>
      </c>
      <c r="H23" s="257">
        <f t="shared" si="5"/>
        <v>225000</v>
      </c>
      <c r="I23" s="257">
        <f t="shared" si="5"/>
        <v>225000</v>
      </c>
      <c r="J23" s="257">
        <f t="shared" si="5"/>
        <v>225000</v>
      </c>
      <c r="K23" s="257">
        <f t="shared" si="5"/>
        <v>225000</v>
      </c>
      <c r="L23" s="257">
        <f t="shared" si="5"/>
        <v>225000</v>
      </c>
      <c r="M23" s="257">
        <f t="shared" si="5"/>
        <v>225000</v>
      </c>
      <c r="N23" s="257">
        <f t="shared" si="5"/>
        <v>225000</v>
      </c>
      <c r="O23" s="257">
        <f>IF(O21*5%&lt;6000000,O21*5%,6000000)</f>
        <v>2907500</v>
      </c>
      <c r="P23" s="110">
        <f>IF(P21*5%&lt;6000000,P21*5%,6000000)</f>
        <v>2907500</v>
      </c>
      <c r="Q23" s="110">
        <f>IF(Q21*5%&lt;6000000,Q21*5%,6000000)</f>
        <v>2700000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225000</v>
      </c>
      <c r="D26" s="257">
        <f t="shared" si="6"/>
        <v>225000</v>
      </c>
      <c r="E26" s="257">
        <f t="shared" si="6"/>
        <v>225000</v>
      </c>
      <c r="F26" s="257">
        <f t="shared" si="6"/>
        <v>225000</v>
      </c>
      <c r="G26" s="257">
        <f>SUM(G23:G25)</f>
        <v>225000</v>
      </c>
      <c r="H26" s="257">
        <f t="shared" si="6"/>
        <v>225000</v>
      </c>
      <c r="I26" s="257">
        <f t="shared" si="6"/>
        <v>225000</v>
      </c>
      <c r="J26" s="257">
        <f t="shared" si="6"/>
        <v>225000</v>
      </c>
      <c r="K26" s="257">
        <f t="shared" si="6"/>
        <v>225000</v>
      </c>
      <c r="L26" s="257">
        <f t="shared" si="6"/>
        <v>225000</v>
      </c>
      <c r="M26" s="257">
        <f t="shared" si="6"/>
        <v>225000</v>
      </c>
      <c r="N26" s="257">
        <f t="shared" si="6"/>
        <v>225000</v>
      </c>
      <c r="O26" s="263">
        <f>SUM(O22:O25)</f>
        <v>2907500</v>
      </c>
      <c r="P26" s="103">
        <f>SUM(P23:P25)</f>
        <v>2907500</v>
      </c>
      <c r="Q26" s="103">
        <f>SUM(Q23:Q25)</f>
        <v>2700000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4275000</v>
      </c>
      <c r="D28" s="255">
        <f t="shared" ref="D28:O28" si="7">D21-D26</f>
        <v>4275000</v>
      </c>
      <c r="E28" s="255">
        <f t="shared" si="7"/>
        <v>4275000</v>
      </c>
      <c r="F28" s="255">
        <f t="shared" si="7"/>
        <v>4275000</v>
      </c>
      <c r="G28" s="255">
        <f>G21-G26</f>
        <v>4275000</v>
      </c>
      <c r="H28" s="255">
        <f t="shared" si="7"/>
        <v>4275000</v>
      </c>
      <c r="I28" s="255">
        <f t="shared" si="7"/>
        <v>4275000</v>
      </c>
      <c r="J28" s="255">
        <f t="shared" si="7"/>
        <v>4275000</v>
      </c>
      <c r="K28" s="255">
        <f t="shared" si="7"/>
        <v>4275000</v>
      </c>
      <c r="L28" s="255">
        <f t="shared" si="7"/>
        <v>4275000</v>
      </c>
      <c r="M28" s="255">
        <f t="shared" si="7"/>
        <v>4275000</v>
      </c>
      <c r="N28" s="255">
        <f t="shared" si="7"/>
        <v>4275000</v>
      </c>
      <c r="O28" s="255">
        <f t="shared" si="7"/>
        <v>55242500</v>
      </c>
      <c r="P28" s="103">
        <f>P21-P26</f>
        <v>55242500</v>
      </c>
      <c r="Q28" s="103">
        <f>Q21-Q26</f>
        <v>51300000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51300000</v>
      </c>
      <c r="D30" s="253">
        <f>SUM(C28:D28)*D10/D11</f>
        <v>51300000</v>
      </c>
      <c r="E30" s="253">
        <f>SUM(C28:E28)*E10/E11</f>
        <v>51300000</v>
      </c>
      <c r="F30" s="253">
        <f>SUM(C28:F28)*F10/F11</f>
        <v>51300000</v>
      </c>
      <c r="G30" s="253">
        <f>SUM(C28:G28)*G10/G11</f>
        <v>51300000</v>
      </c>
      <c r="H30" s="253">
        <f>SUM(C28:H28)*H10/H11</f>
        <v>51300000</v>
      </c>
      <c r="I30" s="253">
        <f>SUM(C28:I28)*I10/I11</f>
        <v>51300000</v>
      </c>
      <c r="J30" s="253">
        <f>SUM(C28:J28)*J10/J11</f>
        <v>51300000</v>
      </c>
      <c r="K30" s="253">
        <f>SUM(C28:K28)*K10/K11</f>
        <v>51300000</v>
      </c>
      <c r="L30" s="253">
        <f>SUM(C28:L28)*L10/L11</f>
        <v>51300000</v>
      </c>
      <c r="M30" s="253">
        <f>SUM(C28:M28)*M10/M11</f>
        <v>51300000</v>
      </c>
      <c r="N30" s="253">
        <f>SUM(C28:N28)*N10/N11</f>
        <v>51300000</v>
      </c>
      <c r="O30" s="254">
        <f>O28</f>
        <v>55242500</v>
      </c>
      <c r="P30" s="108">
        <f>P28</f>
        <v>55242500</v>
      </c>
      <c r="Q30" s="108">
        <f>Q28</f>
        <v>51300000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54000000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1242000</v>
      </c>
      <c r="P32" s="103">
        <f t="shared" ref="D32:Q32" si="10">ROUNDDOWN(IF(P30&lt;=P31,0,IF(P30&gt;P31,P30-P31)),-3)</f>
        <v>1242000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IF(O32&lt;0,0,IF(O32&lt;60000000,O32*5%,IF(O32&lt;250000000,(O32-60000000)*15%+3000000,IF(O32&lt;500000000,(O32-250000000)*25%+31500000,IF(O32&lt;5000000000,(O32-500000000)*30%+94000000,IF(O32&gt;5000000000,(O32-500000000)*35%+1444000000))))))*120%</f>
        <v>74520</v>
      </c>
      <c r="P33" s="255">
        <f>IF(P32&lt;0,0,IF(P32&lt;60000000,P32*5%,IF(P32&lt;250000000,(P32-60000000)*15%+3000000,IF(P32&lt;500000000,(P32-250000000)*25%+31500000,IF(P32&lt;5000000000,(P32-500000000)*30%+94000000,IF(P32&gt;5000000000,(P32-500000000)*35%+1444000000))))))*120%</f>
        <v>74520</v>
      </c>
      <c r="Q33" s="255">
        <f t="shared" ref="P33:Q33" si="12">IF(Q32&lt;0,0,IF(Q32&lt;60000000,Q32*5%,IF(Q32&lt;250000000,(Q32-60000000)*15%+3000000,IF(Q32&lt;500000000,(Q32-250000000)*25%+31500000,IF(Q32&lt;5000000000,(Q32-500000000)*30%+94000000,IF(Q32&gt;5000000000,(Q32-500000000)*35%+1444000000))))))</f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74520</v>
      </c>
      <c r="P35" s="103">
        <f>P33+P34</f>
        <v>74520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/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74520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74520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4500000</v>
      </c>
      <c r="D41" s="50">
        <f t="shared" si="14"/>
        <v>4500000</v>
      </c>
      <c r="E41" s="50">
        <f t="shared" si="14"/>
        <v>4500000</v>
      </c>
      <c r="F41" s="50">
        <f t="shared" si="14"/>
        <v>4500000</v>
      </c>
      <c r="G41" s="50">
        <f t="shared" si="14"/>
        <v>4500000</v>
      </c>
      <c r="H41" s="50">
        <f t="shared" si="14"/>
        <v>4500000</v>
      </c>
      <c r="I41" s="50">
        <f t="shared" si="14"/>
        <v>4500000</v>
      </c>
      <c r="J41" s="50">
        <f t="shared" si="14"/>
        <v>4500000</v>
      </c>
      <c r="K41" s="50">
        <f>K21-K25-K36</f>
        <v>4500000</v>
      </c>
      <c r="L41" s="50">
        <f>L21-L25-L36</f>
        <v>4500000</v>
      </c>
      <c r="M41" s="50">
        <f>M21-M25-M36</f>
        <v>4500000</v>
      </c>
      <c r="N41" s="50">
        <f>N21-N25-N36</f>
        <v>4500000</v>
      </c>
      <c r="O41" s="50">
        <f>O21-O25-O36-O38</f>
        <v>58150000</v>
      </c>
      <c r="P41" s="126">
        <f>P21-P25-P36</f>
        <v>58150000</v>
      </c>
      <c r="Q41" s="126">
        <f>Q21-Q25-Q36</f>
        <v>54000000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3200-000000000000}"/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5"/>
  <dimension ref="A1:V51"/>
  <sheetViews>
    <sheetView topLeftCell="A8" workbookViewId="0">
      <pane xSplit="2" ySplit="1" topLeftCell="C9" activePane="bottomRight" state="frozen"/>
      <selection activeCell="J32" sqref="J32"/>
      <selection pane="topRight" activeCell="J32" sqref="J32"/>
      <selection pane="bottomLeft" activeCell="J32" sqref="J32"/>
      <selection pane="bottomRight" activeCell="C9" sqref="C9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353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>
        <f>SUM(C9:N9)</f>
        <v>0</v>
      </c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>
        <f>SUM(C11:N11)</f>
        <v>0</v>
      </c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0</v>
      </c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>
        <f>SUM(O9:O14)</f>
        <v>0</v>
      </c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 t="shared" si="2"/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 t="shared" ref="D19:N19" si="3">IF(D17*5%&lt;500000,D17*5%,500000)</f>
        <v>0</v>
      </c>
      <c r="E19" s="37">
        <f t="shared" si="3"/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 t="shared" ref="C24:N24" si="5">C17-C22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72000000</v>
      </c>
      <c r="D27" s="53">
        <f>C27</f>
        <v>72000000</v>
      </c>
      <c r="E27" s="53">
        <f t="shared" ref="E27:M27" si="6">D27</f>
        <v>72000000</v>
      </c>
      <c r="F27" s="53">
        <f t="shared" si="6"/>
        <v>72000000</v>
      </c>
      <c r="G27" s="53">
        <f t="shared" si="6"/>
        <v>72000000</v>
      </c>
      <c r="H27" s="53">
        <f>G27</f>
        <v>72000000</v>
      </c>
      <c r="I27" s="53">
        <f t="shared" si="6"/>
        <v>72000000</v>
      </c>
      <c r="J27" s="53">
        <f t="shared" si="6"/>
        <v>72000000</v>
      </c>
      <c r="K27" s="53">
        <f t="shared" si="6"/>
        <v>72000000</v>
      </c>
      <c r="L27" s="53">
        <f t="shared" si="6"/>
        <v>72000000</v>
      </c>
      <c r="M27" s="53">
        <f t="shared" si="6"/>
        <v>72000000</v>
      </c>
      <c r="N27" s="53">
        <f>M27</f>
        <v>72000000</v>
      </c>
      <c r="O27" s="53">
        <f>N27</f>
        <v>72000000</v>
      </c>
      <c r="P27" s="103">
        <f>O27</f>
        <v>72000000</v>
      </c>
      <c r="Q27" s="103">
        <f>P27</f>
        <v>72000000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f>P31/12</f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9:N9 D10:N14 P9:Q14" xr:uid="{00000000-0002-0000-3300-000000000000}"/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64"/>
  <dimension ref="A1:Q59"/>
  <sheetViews>
    <sheetView zoomScale="57" workbookViewId="0">
      <selection activeCell="O23" sqref="O2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</cols>
  <sheetData>
    <row r="1" spans="1:17" x14ac:dyDescent="0.25">
      <c r="A1" s="6" t="s">
        <v>52</v>
      </c>
      <c r="B1" s="4" t="s">
        <v>545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s="3" customFormat="1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s="3" customFormat="1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s="3" customFormat="1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80</v>
      </c>
      <c r="Q12" s="122" t="s">
        <v>3</v>
      </c>
    </row>
    <row r="13" spans="1:17" ht="20.100000000000001" customHeight="1" x14ac:dyDescent="0.25">
      <c r="A13" s="30">
        <v>1</v>
      </c>
      <c r="B13" s="31" t="s">
        <v>9</v>
      </c>
      <c r="C13" s="150">
        <v>5000000</v>
      </c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5000000</v>
      </c>
      <c r="P13" s="123">
        <f t="shared" ref="P13:P18" si="1">Q13</f>
        <v>0</v>
      </c>
      <c r="Q13" s="123">
        <f t="shared" ref="Q13:Q18" si="2">G13*12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si="2"/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17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17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17" ht="20.100000000000001" customHeight="1" x14ac:dyDescent="0.25">
      <c r="A19" s="30">
        <v>7</v>
      </c>
      <c r="B19" s="31" t="s">
        <v>15</v>
      </c>
      <c r="C19" s="37">
        <f>SUM(C13:C18)</f>
        <v>5000000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8">
        <f>SUM(O13:O18)</f>
        <v>5000000</v>
      </c>
      <c r="P19" s="103">
        <f>SUM(P13:P18)</f>
        <v>0</v>
      </c>
      <c r="Q19" s="103">
        <f>SUM(Q13:Q18)</f>
        <v>0</v>
      </c>
    </row>
    <row r="20" spans="1:17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17" ht="20.100000000000001" customHeight="1" x14ac:dyDescent="0.25">
      <c r="A21" s="51">
        <v>9</v>
      </c>
      <c r="B21" s="52" t="s">
        <v>17</v>
      </c>
      <c r="C21" s="259">
        <f>C19+C20</f>
        <v>5000000</v>
      </c>
      <c r="D21" s="259">
        <f t="shared" ref="D21:N21" si="3">D19+D20</f>
        <v>0</v>
      </c>
      <c r="E21" s="259">
        <f t="shared" si="3"/>
        <v>0</v>
      </c>
      <c r="F21" s="259">
        <f t="shared" si="3"/>
        <v>0</v>
      </c>
      <c r="G21" s="259">
        <f>G19+G20</f>
        <v>0</v>
      </c>
      <c r="H21" s="259">
        <f t="shared" si="3"/>
        <v>0</v>
      </c>
      <c r="I21" s="259">
        <f t="shared" si="3"/>
        <v>0</v>
      </c>
      <c r="J21" s="259">
        <f t="shared" si="3"/>
        <v>0</v>
      </c>
      <c r="K21" s="259">
        <f t="shared" si="3"/>
        <v>0</v>
      </c>
      <c r="L21" s="259">
        <f t="shared" si="3"/>
        <v>0</v>
      </c>
      <c r="M21" s="259">
        <f t="shared" si="3"/>
        <v>0</v>
      </c>
      <c r="N21" s="259">
        <f t="shared" si="3"/>
        <v>0</v>
      </c>
      <c r="O21" s="259">
        <f>O19+O20</f>
        <v>5000000</v>
      </c>
      <c r="P21" s="103">
        <f>P19+P20</f>
        <v>0</v>
      </c>
      <c r="Q21" s="103">
        <f>Q19+Q20</f>
        <v>0</v>
      </c>
    </row>
    <row r="22" spans="1:17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</row>
    <row r="23" spans="1:17" ht="20.100000000000001" customHeight="1" x14ac:dyDescent="0.25">
      <c r="A23" s="30">
        <v>10</v>
      </c>
      <c r="B23" s="31" t="s">
        <v>19</v>
      </c>
      <c r="C23" s="257">
        <f>IF(C21*5%&lt;500000,C21*5%,500000)</f>
        <v>250000</v>
      </c>
      <c r="D23" s="257">
        <f t="shared" ref="D23:N23" si="4">IF(D21*5%&lt;500000,D21*5%,500000)</f>
        <v>0</v>
      </c>
      <c r="E23" s="257">
        <f t="shared" si="4"/>
        <v>0</v>
      </c>
      <c r="F23" s="257">
        <f t="shared" si="4"/>
        <v>0</v>
      </c>
      <c r="G23" s="257">
        <f>IF(G21*5%&lt;500000,G21*5%,500000)</f>
        <v>0</v>
      </c>
      <c r="H23" s="257">
        <f t="shared" si="4"/>
        <v>0</v>
      </c>
      <c r="I23" s="257">
        <f t="shared" si="4"/>
        <v>0</v>
      </c>
      <c r="J23" s="257">
        <f t="shared" si="4"/>
        <v>0</v>
      </c>
      <c r="K23" s="257">
        <f t="shared" si="4"/>
        <v>0</v>
      </c>
      <c r="L23" s="257">
        <f t="shared" si="4"/>
        <v>0</v>
      </c>
      <c r="M23" s="257">
        <f t="shared" si="4"/>
        <v>0</v>
      </c>
      <c r="N23" s="257">
        <f t="shared" si="4"/>
        <v>0</v>
      </c>
      <c r="O23" s="257">
        <f>IF(O21*5%&lt;6000000,O21*5%,6000000)</f>
        <v>250000</v>
      </c>
      <c r="P23" s="110">
        <f>IF(P21*5%&lt;6000000,P21*5%,6000000)</f>
        <v>0</v>
      </c>
      <c r="Q23" s="110">
        <f>IF(Q21*5%&lt;6000000,Q21*5%,6000000)</f>
        <v>0</v>
      </c>
    </row>
    <row r="24" spans="1:17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</row>
    <row r="25" spans="1:17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</row>
    <row r="26" spans="1:17" ht="20.100000000000001" customHeight="1" x14ac:dyDescent="0.25">
      <c r="A26" s="30">
        <v>13</v>
      </c>
      <c r="B26" s="31" t="s">
        <v>22</v>
      </c>
      <c r="C26" s="257">
        <f t="shared" ref="C26:N26" si="5">SUM(C23:C25)</f>
        <v>250000</v>
      </c>
      <c r="D26" s="257">
        <f t="shared" si="5"/>
        <v>0</v>
      </c>
      <c r="E26" s="257">
        <f t="shared" si="5"/>
        <v>0</v>
      </c>
      <c r="F26" s="257">
        <f t="shared" si="5"/>
        <v>0</v>
      </c>
      <c r="G26" s="257">
        <f>SUM(G23:G25)</f>
        <v>0</v>
      </c>
      <c r="H26" s="257">
        <f t="shared" si="5"/>
        <v>0</v>
      </c>
      <c r="I26" s="257">
        <f t="shared" si="5"/>
        <v>0</v>
      </c>
      <c r="J26" s="257">
        <f t="shared" si="5"/>
        <v>0</v>
      </c>
      <c r="K26" s="257">
        <f t="shared" si="5"/>
        <v>0</v>
      </c>
      <c r="L26" s="257">
        <f t="shared" si="5"/>
        <v>0</v>
      </c>
      <c r="M26" s="257">
        <f t="shared" si="5"/>
        <v>0</v>
      </c>
      <c r="N26" s="257">
        <f t="shared" si="5"/>
        <v>0</v>
      </c>
      <c r="O26" s="263">
        <f>SUM(O22:O25)</f>
        <v>250000</v>
      </c>
      <c r="P26" s="103">
        <f>SUM(P23:P25)</f>
        <v>0</v>
      </c>
      <c r="Q26" s="103">
        <f>SUM(Q23:Q25)</f>
        <v>0</v>
      </c>
    </row>
    <row r="27" spans="1:17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</row>
    <row r="28" spans="1:17" ht="20.100000000000001" customHeight="1" x14ac:dyDescent="0.25">
      <c r="A28" s="51">
        <v>14</v>
      </c>
      <c r="B28" s="52" t="s">
        <v>24</v>
      </c>
      <c r="C28" s="255">
        <f>C21-C26</f>
        <v>4750000</v>
      </c>
      <c r="D28" s="255">
        <f t="shared" ref="D28:O28" si="6">D21-D26</f>
        <v>0</v>
      </c>
      <c r="E28" s="255">
        <f t="shared" si="6"/>
        <v>0</v>
      </c>
      <c r="F28" s="255">
        <f t="shared" si="6"/>
        <v>0</v>
      </c>
      <c r="G28" s="255">
        <f>G21-G26</f>
        <v>0</v>
      </c>
      <c r="H28" s="255">
        <f t="shared" si="6"/>
        <v>0</v>
      </c>
      <c r="I28" s="255">
        <f t="shared" si="6"/>
        <v>0</v>
      </c>
      <c r="J28" s="255">
        <f t="shared" si="6"/>
        <v>0</v>
      </c>
      <c r="K28" s="255">
        <f t="shared" si="6"/>
        <v>0</v>
      </c>
      <c r="L28" s="255">
        <f t="shared" si="6"/>
        <v>0</v>
      </c>
      <c r="M28" s="255">
        <f t="shared" si="6"/>
        <v>0</v>
      </c>
      <c r="N28" s="255">
        <f t="shared" si="6"/>
        <v>0</v>
      </c>
      <c r="O28" s="255">
        <f t="shared" si="6"/>
        <v>4750000</v>
      </c>
      <c r="P28" s="103">
        <f>P21-P26</f>
        <v>0</v>
      </c>
      <c r="Q28" s="103">
        <f>Q21-Q26</f>
        <v>0</v>
      </c>
    </row>
    <row r="29" spans="1:17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</row>
    <row r="30" spans="1:17" ht="30" x14ac:dyDescent="0.25">
      <c r="A30" s="41">
        <v>16</v>
      </c>
      <c r="B30" s="42" t="s">
        <v>26</v>
      </c>
      <c r="C30" s="253">
        <f>SUM(C28)*C10/C11</f>
        <v>57000000</v>
      </c>
      <c r="D30" s="253">
        <f>SUM(C28:D28)*D10/D11</f>
        <v>28500000</v>
      </c>
      <c r="E30" s="253">
        <f>SUM(C28:E28)*E10/E11</f>
        <v>19000000</v>
      </c>
      <c r="F30" s="253">
        <f>SUM(C28:F28)*F10/F11</f>
        <v>14250000</v>
      </c>
      <c r="G30" s="253">
        <f>SUM(C28:G28)*G10/G11</f>
        <v>11400000</v>
      </c>
      <c r="H30" s="253">
        <f>SUM(C28:H28)*H10/H11</f>
        <v>9500000</v>
      </c>
      <c r="I30" s="253">
        <f>SUM(C28:I28)*I10/I11</f>
        <v>8142857.1428571427</v>
      </c>
      <c r="J30" s="253">
        <f>SUM(C28:J28)*J10/J11</f>
        <v>7125000</v>
      </c>
      <c r="K30" s="253">
        <f>SUM(C28:K28)*K10/K11</f>
        <v>6333333.333333333</v>
      </c>
      <c r="L30" s="253">
        <f>SUM(C28:L28)*L10/L11</f>
        <v>5700000</v>
      </c>
      <c r="M30" s="253">
        <f>SUM(C28:M28)*M10/M11</f>
        <v>5181818.1818181816</v>
      </c>
      <c r="N30" s="253">
        <f>SUM(C28:N28)*N10/N11</f>
        <v>4750000</v>
      </c>
      <c r="O30" s="254">
        <f>O28</f>
        <v>4750000</v>
      </c>
      <c r="P30" s="108">
        <f>P28</f>
        <v>0</v>
      </c>
      <c r="Q30" s="108">
        <f>Q28</f>
        <v>0</v>
      </c>
    </row>
    <row r="31" spans="1:17" ht="20.100000000000001" customHeight="1" x14ac:dyDescent="0.25">
      <c r="A31" s="51">
        <v>17</v>
      </c>
      <c r="B31" s="52" t="s">
        <v>27</v>
      </c>
      <c r="C31" s="255">
        <f t="shared" ref="C31:O31" si="7">IF(C30&gt;0,VLOOKUP(C9,$B$47:$C$59,2,FALSE),0)</f>
        <v>72000000</v>
      </c>
      <c r="D31" s="255">
        <f t="shared" si="7"/>
        <v>72000000</v>
      </c>
      <c r="E31" s="255">
        <f t="shared" si="7"/>
        <v>72000000</v>
      </c>
      <c r="F31" s="255">
        <f t="shared" si="7"/>
        <v>72000000</v>
      </c>
      <c r="G31" s="255">
        <f>IF(G30&gt;0,VLOOKUP(G9,$B$47:$C$59,2,FALSE),0)</f>
        <v>72000000</v>
      </c>
      <c r="H31" s="255">
        <f t="shared" si="7"/>
        <v>72000000</v>
      </c>
      <c r="I31" s="255">
        <f t="shared" si="7"/>
        <v>72000000</v>
      </c>
      <c r="J31" s="255">
        <f t="shared" si="7"/>
        <v>72000000</v>
      </c>
      <c r="K31" s="255">
        <f t="shared" si="7"/>
        <v>72000000</v>
      </c>
      <c r="L31" s="255">
        <f t="shared" si="7"/>
        <v>72000000</v>
      </c>
      <c r="M31" s="255">
        <f t="shared" si="7"/>
        <v>72000000</v>
      </c>
      <c r="N31" s="255">
        <f t="shared" si="7"/>
        <v>72000000</v>
      </c>
      <c r="O31" s="255">
        <f t="shared" si="7"/>
        <v>72000000</v>
      </c>
      <c r="P31" s="103">
        <f>O31</f>
        <v>72000000</v>
      </c>
      <c r="Q31" s="103">
        <f>P31</f>
        <v>72000000</v>
      </c>
    </row>
    <row r="32" spans="1:17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8">ROUNDDOWN(IF(D30&lt;=D31,0,IF(D30&gt;D31,D30-D31)),-3)</f>
        <v>0</v>
      </c>
      <c r="E32" s="256">
        <f t="shared" si="8"/>
        <v>0</v>
      </c>
      <c r="F32" s="256">
        <f t="shared" si="8"/>
        <v>0</v>
      </c>
      <c r="G32" s="256">
        <f t="shared" si="8"/>
        <v>0</v>
      </c>
      <c r="H32" s="256">
        <f t="shared" si="8"/>
        <v>0</v>
      </c>
      <c r="I32" s="256">
        <f>ROUNDDOWN(IF(I30&lt;=I31,0,IF(I30&gt;I31,I30-I31)),-3)</f>
        <v>0</v>
      </c>
      <c r="J32" s="256">
        <f t="shared" si="8"/>
        <v>0</v>
      </c>
      <c r="K32" s="256">
        <f t="shared" si="8"/>
        <v>0</v>
      </c>
      <c r="L32" s="256">
        <f t="shared" si="8"/>
        <v>0</v>
      </c>
      <c r="M32" s="256">
        <f t="shared" si="8"/>
        <v>0</v>
      </c>
      <c r="N32" s="256">
        <f t="shared" si="8"/>
        <v>0</v>
      </c>
      <c r="O32" s="256">
        <f t="shared" si="8"/>
        <v>0</v>
      </c>
      <c r="P32" s="103">
        <f t="shared" ref="D32:Q32" si="9">ROUNDDOWN(IF(P30&lt;=P31,0,IF(P30&gt;P31,P30-P31)),-3)</f>
        <v>0</v>
      </c>
      <c r="Q32" s="103">
        <f t="shared" si="9"/>
        <v>0</v>
      </c>
    </row>
    <row r="33" spans="1:17" ht="20.100000000000001" customHeight="1" x14ac:dyDescent="0.25">
      <c r="A33" s="30">
        <v>19</v>
      </c>
      <c r="B33" s="31" t="s">
        <v>29</v>
      </c>
      <c r="C33" s="257">
        <f t="shared" ref="C33:N33" si="10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0"/>
        <v>0</v>
      </c>
      <c r="E33" s="257">
        <f t="shared" si="10"/>
        <v>0</v>
      </c>
      <c r="F33" s="257">
        <f t="shared" si="10"/>
        <v>0</v>
      </c>
      <c r="G33" s="257">
        <f t="shared" si="10"/>
        <v>0</v>
      </c>
      <c r="H33" s="257">
        <f t="shared" si="10"/>
        <v>0</v>
      </c>
      <c r="I33" s="257">
        <f t="shared" si="10"/>
        <v>0</v>
      </c>
      <c r="J33" s="257">
        <f t="shared" si="10"/>
        <v>0</v>
      </c>
      <c r="K33" s="257">
        <f t="shared" si="10"/>
        <v>0</v>
      </c>
      <c r="L33" s="257">
        <f t="shared" si="10"/>
        <v>0</v>
      </c>
      <c r="M33" s="257">
        <f t="shared" si="10"/>
        <v>0</v>
      </c>
      <c r="N33" s="257">
        <f t="shared" si="10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103">
        <f>IF(P32&lt;0,0,IF(P32&lt;50000000,P32*5%,IF(P32&lt;250000000,(P32-50000000)*15%+2500000,IF(P32&lt;500000000,(P32-250000000)*25%+32500000,IF(P32&gt;500000000,(P32-500000000)*30%+95000000)))))</f>
        <v>0</v>
      </c>
      <c r="Q33" s="103">
        <f>IF(Q32&lt;0,0,IF(Q32&lt;50000000,Q32*5%,IF(Q32&lt;250000000,(Q32-50000000)*15%+2500000,IF(Q32&lt;500000000,(Q32-250000000)*25%+32500000,IF(Q32&gt;500000000,(Q32-500000000)*30%+95000000)))))</f>
        <v>0</v>
      </c>
    </row>
    <row r="34" spans="1:17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</row>
    <row r="35" spans="1:17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1">D33-D34</f>
        <v>0</v>
      </c>
      <c r="E35" s="255">
        <f t="shared" si="11"/>
        <v>0</v>
      </c>
      <c r="F35" s="255">
        <f t="shared" si="11"/>
        <v>0</v>
      </c>
      <c r="G35" s="255">
        <f t="shared" si="11"/>
        <v>0</v>
      </c>
      <c r="H35" s="255">
        <f t="shared" si="11"/>
        <v>0</v>
      </c>
      <c r="I35" s="255">
        <f t="shared" si="11"/>
        <v>0</v>
      </c>
      <c r="J35" s="255">
        <f t="shared" si="11"/>
        <v>0</v>
      </c>
      <c r="K35" s="255">
        <f t="shared" si="11"/>
        <v>0</v>
      </c>
      <c r="L35" s="255">
        <f t="shared" si="11"/>
        <v>0</v>
      </c>
      <c r="M35" s="255">
        <f t="shared" si="11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17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17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17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17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17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17" ht="20.100000000000001" customHeight="1" x14ac:dyDescent="0.25">
      <c r="A41" s="47"/>
      <c r="B41" s="49" t="s">
        <v>34</v>
      </c>
      <c r="C41" s="50">
        <f t="shared" ref="C41:J41" si="12">C21-C25-C36</f>
        <v>5000000</v>
      </c>
      <c r="D41" s="50">
        <f t="shared" si="12"/>
        <v>0</v>
      </c>
      <c r="E41" s="50">
        <f t="shared" si="12"/>
        <v>0</v>
      </c>
      <c r="F41" s="50">
        <f t="shared" si="12"/>
        <v>0</v>
      </c>
      <c r="G41" s="50">
        <f t="shared" si="12"/>
        <v>0</v>
      </c>
      <c r="H41" s="50">
        <f t="shared" si="12"/>
        <v>0</v>
      </c>
      <c r="I41" s="50">
        <f t="shared" si="12"/>
        <v>0</v>
      </c>
      <c r="J41" s="50">
        <f t="shared" si="12"/>
        <v>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0</v>
      </c>
      <c r="O41" s="50">
        <f>O21-O25-O36-O38</f>
        <v>5000000</v>
      </c>
      <c r="P41" s="126">
        <f>P21-P25-P36</f>
        <v>0</v>
      </c>
      <c r="Q41" s="126">
        <f>Q21-Q25-Q36</f>
        <v>0</v>
      </c>
    </row>
    <row r="42" spans="1:17" x14ac:dyDescent="0.25">
      <c r="P42" s="114"/>
      <c r="Q42" s="114"/>
    </row>
    <row r="43" spans="1:17" x14ac:dyDescent="0.25">
      <c r="P43" s="114"/>
      <c r="Q43" s="114"/>
    </row>
    <row r="44" spans="1:17" x14ac:dyDescent="0.25">
      <c r="P44" s="114"/>
      <c r="Q44" s="114"/>
    </row>
    <row r="45" spans="1:17" x14ac:dyDescent="0.25">
      <c r="P45" s="114"/>
      <c r="Q45" s="114"/>
    </row>
    <row r="46" spans="1:17" x14ac:dyDescent="0.25">
      <c r="P46" s="114"/>
      <c r="Q46" s="114"/>
    </row>
    <row r="47" spans="1:17" x14ac:dyDescent="0.25">
      <c r="A47" s="62"/>
      <c r="B47" s="63" t="s">
        <v>65</v>
      </c>
      <c r="C47" s="63" t="s">
        <v>66</v>
      </c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118"/>
      <c r="Q47" s="118"/>
    </row>
    <row r="48" spans="1:17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3400-000000000000}"/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29"/>
  <dimension ref="A1:V59"/>
  <sheetViews>
    <sheetView topLeftCell="E1" zoomScale="68" workbookViewId="0">
      <selection activeCell="O26" sqref="O26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361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4000000</v>
      </c>
      <c r="D13" s="92">
        <v>4000000</v>
      </c>
      <c r="E13" s="162">
        <v>4000000</v>
      </c>
      <c r="F13" s="92">
        <v>4000000</v>
      </c>
      <c r="G13" s="92">
        <v>4000000</v>
      </c>
      <c r="H13" s="92">
        <v>4050000</v>
      </c>
      <c r="I13" s="92">
        <v>4050000</v>
      </c>
      <c r="J13" s="92">
        <v>4000000</v>
      </c>
      <c r="K13" s="92">
        <v>4050000</v>
      </c>
      <c r="L13" s="92">
        <v>4050000</v>
      </c>
      <c r="M13" s="92">
        <v>4150000</v>
      </c>
      <c r="N13" s="92">
        <v>4050000</v>
      </c>
      <c r="O13" s="32">
        <f>SUM(C13:N13)</f>
        <v>48400000</v>
      </c>
      <c r="P13" s="123">
        <f t="shared" ref="P13:P18" si="1">Q13</f>
        <v>48000000</v>
      </c>
      <c r="Q13" s="123">
        <f>F13*12</f>
        <v>48000000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>
        <v>75000</v>
      </c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4000000</v>
      </c>
      <c r="D19" s="37">
        <f t="shared" si="3"/>
        <v>4000000</v>
      </c>
      <c r="E19" s="37">
        <f t="shared" si="3"/>
        <v>4000000</v>
      </c>
      <c r="F19" s="37">
        <f t="shared" si="3"/>
        <v>4000000</v>
      </c>
      <c r="G19" s="37">
        <f t="shared" si="3"/>
        <v>4000000</v>
      </c>
      <c r="H19" s="37">
        <f t="shared" si="3"/>
        <v>4050000</v>
      </c>
      <c r="I19" s="37">
        <f t="shared" si="3"/>
        <v>4050000</v>
      </c>
      <c r="J19" s="37">
        <f t="shared" si="3"/>
        <v>4075000</v>
      </c>
      <c r="K19" s="37">
        <f t="shared" si="3"/>
        <v>4050000</v>
      </c>
      <c r="L19" s="37">
        <f t="shared" si="3"/>
        <v>4050000</v>
      </c>
      <c r="M19" s="37">
        <f t="shared" si="3"/>
        <v>4150000</v>
      </c>
      <c r="N19" s="37">
        <f t="shared" si="3"/>
        <v>4050000</v>
      </c>
      <c r="O19" s="38">
        <f>SUM(O13:O18)</f>
        <v>48400000</v>
      </c>
      <c r="P19" s="103">
        <f>SUM(P13:P18)</f>
        <v>48000000</v>
      </c>
      <c r="Q19" s="103">
        <f>SUM(Q13:Q18)</f>
        <v>48000000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3000000</v>
      </c>
      <c r="P20" s="110">
        <v>3000000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4000000</v>
      </c>
      <c r="D21" s="259">
        <f t="shared" ref="D21:N21" si="4">D19+D20</f>
        <v>4000000</v>
      </c>
      <c r="E21" s="259">
        <f t="shared" si="4"/>
        <v>4000000</v>
      </c>
      <c r="F21" s="259">
        <f t="shared" si="4"/>
        <v>4000000</v>
      </c>
      <c r="G21" s="259">
        <f>G19+G20</f>
        <v>4000000</v>
      </c>
      <c r="H21" s="259">
        <f t="shared" si="4"/>
        <v>4050000</v>
      </c>
      <c r="I21" s="259">
        <f t="shared" si="4"/>
        <v>4050000</v>
      </c>
      <c r="J21" s="259">
        <f t="shared" si="4"/>
        <v>4075000</v>
      </c>
      <c r="K21" s="259">
        <f t="shared" si="4"/>
        <v>4050000</v>
      </c>
      <c r="L21" s="259">
        <f t="shared" si="4"/>
        <v>4050000</v>
      </c>
      <c r="M21" s="259">
        <f t="shared" si="4"/>
        <v>4150000</v>
      </c>
      <c r="N21" s="259">
        <f t="shared" si="4"/>
        <v>4050000</v>
      </c>
      <c r="O21" s="259">
        <f>O19+O20</f>
        <v>51400000</v>
      </c>
      <c r="P21" s="103">
        <f>P19+P20</f>
        <v>51000000</v>
      </c>
      <c r="Q21" s="103">
        <f>Q19+Q20</f>
        <v>48000000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200000</v>
      </c>
      <c r="D23" s="257">
        <f t="shared" ref="D23:N23" si="5">IF(D21*5%&lt;500000,D21*5%,500000)</f>
        <v>200000</v>
      </c>
      <c r="E23" s="257">
        <f t="shared" si="5"/>
        <v>200000</v>
      </c>
      <c r="F23" s="257">
        <f t="shared" si="5"/>
        <v>200000</v>
      </c>
      <c r="G23" s="257">
        <f>IF(G21*5%&lt;500000,G21*5%,500000)</f>
        <v>200000</v>
      </c>
      <c r="H23" s="257">
        <f t="shared" si="5"/>
        <v>202500</v>
      </c>
      <c r="I23" s="257">
        <f t="shared" si="5"/>
        <v>202500</v>
      </c>
      <c r="J23" s="257">
        <f t="shared" si="5"/>
        <v>203750</v>
      </c>
      <c r="K23" s="257">
        <f t="shared" si="5"/>
        <v>202500</v>
      </c>
      <c r="L23" s="257">
        <f t="shared" si="5"/>
        <v>202500</v>
      </c>
      <c r="M23" s="257">
        <f t="shared" si="5"/>
        <v>207500</v>
      </c>
      <c r="N23" s="257">
        <f t="shared" si="5"/>
        <v>202500</v>
      </c>
      <c r="O23" s="257">
        <f>IF(O21*5%&lt;6000000,O21*5%,6000000)</f>
        <v>2570000</v>
      </c>
      <c r="P23" s="110">
        <f>IF(P21*5%&lt;6000000,P21*5%,6000000)</f>
        <v>2550000</v>
      </c>
      <c r="Q23" s="110">
        <f>IF(Q21*5%&lt;6000000,Q21*5%,6000000)</f>
        <v>2400000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200000</v>
      </c>
      <c r="D26" s="257">
        <f t="shared" si="6"/>
        <v>200000</v>
      </c>
      <c r="E26" s="257">
        <f t="shared" si="6"/>
        <v>200000</v>
      </c>
      <c r="F26" s="257">
        <f t="shared" si="6"/>
        <v>200000</v>
      </c>
      <c r="G26" s="257">
        <f>SUM(G23:G25)</f>
        <v>200000</v>
      </c>
      <c r="H26" s="257">
        <f t="shared" si="6"/>
        <v>202500</v>
      </c>
      <c r="I26" s="257">
        <f t="shared" si="6"/>
        <v>202500</v>
      </c>
      <c r="J26" s="257">
        <f t="shared" si="6"/>
        <v>203750</v>
      </c>
      <c r="K26" s="257">
        <f t="shared" si="6"/>
        <v>202500</v>
      </c>
      <c r="L26" s="257">
        <f t="shared" si="6"/>
        <v>202500</v>
      </c>
      <c r="M26" s="257">
        <f t="shared" si="6"/>
        <v>207500</v>
      </c>
      <c r="N26" s="257">
        <f t="shared" si="6"/>
        <v>202500</v>
      </c>
      <c r="O26" s="263">
        <f>SUM(O22:O25)</f>
        <v>2570000</v>
      </c>
      <c r="P26" s="103">
        <f>SUM(P23:P25)</f>
        <v>2550000</v>
      </c>
      <c r="Q26" s="103">
        <f>SUM(Q23:Q25)</f>
        <v>2400000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3800000</v>
      </c>
      <c r="D28" s="255">
        <f t="shared" ref="D28:O28" si="7">D21-D26</f>
        <v>3800000</v>
      </c>
      <c r="E28" s="255">
        <f t="shared" si="7"/>
        <v>3800000</v>
      </c>
      <c r="F28" s="255">
        <f t="shared" si="7"/>
        <v>3800000</v>
      </c>
      <c r="G28" s="255">
        <f>G21-G26</f>
        <v>3800000</v>
      </c>
      <c r="H28" s="255">
        <f t="shared" si="7"/>
        <v>3847500</v>
      </c>
      <c r="I28" s="255">
        <f t="shared" si="7"/>
        <v>3847500</v>
      </c>
      <c r="J28" s="255">
        <f t="shared" si="7"/>
        <v>3871250</v>
      </c>
      <c r="K28" s="255">
        <f t="shared" si="7"/>
        <v>3847500</v>
      </c>
      <c r="L28" s="255">
        <f t="shared" si="7"/>
        <v>3847500</v>
      </c>
      <c r="M28" s="255">
        <f t="shared" si="7"/>
        <v>3942500</v>
      </c>
      <c r="N28" s="255">
        <f t="shared" si="7"/>
        <v>3847500</v>
      </c>
      <c r="O28" s="255">
        <f t="shared" si="7"/>
        <v>48830000</v>
      </c>
      <c r="P28" s="103">
        <f>P21-P26</f>
        <v>48450000</v>
      </c>
      <c r="Q28" s="103">
        <f>Q21-Q26</f>
        <v>45600000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45600000</v>
      </c>
      <c r="D30" s="253">
        <f>SUM(C28:D28)*D10/D11</f>
        <v>45600000</v>
      </c>
      <c r="E30" s="253">
        <f>SUM(C28:E28)*E10/E11</f>
        <v>45600000</v>
      </c>
      <c r="F30" s="253">
        <f>SUM(C28:F28)*F10/F11</f>
        <v>45600000</v>
      </c>
      <c r="G30" s="253">
        <f>SUM(C28:G28)*G10/G11</f>
        <v>45600000</v>
      </c>
      <c r="H30" s="253">
        <f>SUM(C28:H28)*H10/H11</f>
        <v>45695000</v>
      </c>
      <c r="I30" s="253">
        <f>SUM(C28:I28)*I10/I11</f>
        <v>45762857.142857142</v>
      </c>
      <c r="J30" s="253">
        <f>SUM(C28:J28)*J10/J11</f>
        <v>45849375</v>
      </c>
      <c r="K30" s="253">
        <f>SUM(C28:K28)*K10/K11</f>
        <v>45885000</v>
      </c>
      <c r="L30" s="253">
        <f>SUM(C28:L28)*L10/L11</f>
        <v>45913500</v>
      </c>
      <c r="M30" s="253">
        <f>SUM(C28:M28)*M10/M11</f>
        <v>46040454.545454547</v>
      </c>
      <c r="N30" s="253">
        <f>SUM(C28:N28)*N10/N11</f>
        <v>46051250</v>
      </c>
      <c r="O30" s="254">
        <f>O28</f>
        <v>48830000</v>
      </c>
      <c r="P30" s="108">
        <f>P28</f>
        <v>48450000</v>
      </c>
      <c r="Q30" s="108">
        <f>Q28</f>
        <v>45600000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54000000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4000000</v>
      </c>
      <c r="D41" s="50">
        <f t="shared" si="14"/>
        <v>4000000</v>
      </c>
      <c r="E41" s="50">
        <f t="shared" si="14"/>
        <v>4000000</v>
      </c>
      <c r="F41" s="50">
        <f t="shared" si="14"/>
        <v>4000000</v>
      </c>
      <c r="G41" s="50">
        <f t="shared" si="14"/>
        <v>4000000</v>
      </c>
      <c r="H41" s="50">
        <f t="shared" si="14"/>
        <v>4050000</v>
      </c>
      <c r="I41" s="50">
        <f t="shared" si="14"/>
        <v>4050000</v>
      </c>
      <c r="J41" s="50">
        <f t="shared" si="14"/>
        <v>4075000</v>
      </c>
      <c r="K41" s="50">
        <f>K21-K25-K36</f>
        <v>4050000</v>
      </c>
      <c r="L41" s="50">
        <f>L21-L25-L36</f>
        <v>4050000</v>
      </c>
      <c r="M41" s="50">
        <f>M21-M25-M36</f>
        <v>4150000</v>
      </c>
      <c r="N41" s="50">
        <f>N21-N25-N36</f>
        <v>4050000</v>
      </c>
      <c r="O41" s="50">
        <f>O21-O25-O36-O38</f>
        <v>51400000</v>
      </c>
      <c r="P41" s="126">
        <f>P21-P25-P36</f>
        <v>51000000</v>
      </c>
      <c r="Q41" s="126">
        <f>Q21-Q25-Q36</f>
        <v>48000000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3500-000000000000}"/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20"/>
  <dimension ref="A1:V59"/>
  <sheetViews>
    <sheetView topLeftCell="H1" zoomScale="71" workbookViewId="0">
      <selection activeCell="O27" sqref="O27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369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4000000</v>
      </c>
      <c r="D13" s="92">
        <v>4000000</v>
      </c>
      <c r="E13" s="162">
        <v>4000000</v>
      </c>
      <c r="F13" s="92">
        <v>4000000</v>
      </c>
      <c r="G13" s="92">
        <v>4000000</v>
      </c>
      <c r="H13" s="92">
        <v>4050000</v>
      </c>
      <c r="I13" s="92">
        <v>4100000</v>
      </c>
      <c r="J13" s="92">
        <v>4000000</v>
      </c>
      <c r="K13" s="92">
        <v>4150000</v>
      </c>
      <c r="L13" s="92">
        <v>4150000</v>
      </c>
      <c r="M13" s="92">
        <v>4200000</v>
      </c>
      <c r="N13" s="92">
        <v>4100000</v>
      </c>
      <c r="O13" s="32">
        <f>SUM(C13:N13)</f>
        <v>48750000</v>
      </c>
      <c r="P13" s="123">
        <f t="shared" ref="P13:P18" si="1">Q13</f>
        <v>48000000</v>
      </c>
      <c r="Q13" s="123">
        <f>F13*12</f>
        <v>48000000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>
        <v>200000</v>
      </c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4000000</v>
      </c>
      <c r="D19" s="37">
        <f t="shared" si="3"/>
        <v>4000000</v>
      </c>
      <c r="E19" s="37">
        <f t="shared" si="3"/>
        <v>4000000</v>
      </c>
      <c r="F19" s="37">
        <f t="shared" si="3"/>
        <v>4000000</v>
      </c>
      <c r="G19" s="37">
        <f t="shared" si="3"/>
        <v>4000000</v>
      </c>
      <c r="H19" s="37">
        <f t="shared" si="3"/>
        <v>4050000</v>
      </c>
      <c r="I19" s="37">
        <f t="shared" si="3"/>
        <v>4100000</v>
      </c>
      <c r="J19" s="37">
        <f t="shared" si="3"/>
        <v>4200000</v>
      </c>
      <c r="K19" s="37">
        <f t="shared" si="3"/>
        <v>4150000</v>
      </c>
      <c r="L19" s="37">
        <f t="shared" si="3"/>
        <v>4150000</v>
      </c>
      <c r="M19" s="37">
        <f t="shared" si="3"/>
        <v>4200000</v>
      </c>
      <c r="N19" s="37">
        <f t="shared" si="3"/>
        <v>4100000</v>
      </c>
      <c r="O19" s="38">
        <f>SUM(O13:O18)</f>
        <v>48750000</v>
      </c>
      <c r="P19" s="103">
        <f>SUM(P13:P18)</f>
        <v>48000000</v>
      </c>
      <c r="Q19" s="103">
        <f>SUM(Q13:Q18)</f>
        <v>48000000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3000000</v>
      </c>
      <c r="P20" s="110">
        <v>3000000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4000000</v>
      </c>
      <c r="D21" s="259">
        <f t="shared" ref="D21:N21" si="4">D19+D20</f>
        <v>4000000</v>
      </c>
      <c r="E21" s="259">
        <f t="shared" si="4"/>
        <v>4000000</v>
      </c>
      <c r="F21" s="259">
        <f t="shared" si="4"/>
        <v>4000000</v>
      </c>
      <c r="G21" s="259">
        <f>G19+G20</f>
        <v>4000000</v>
      </c>
      <c r="H21" s="259">
        <f t="shared" si="4"/>
        <v>4050000</v>
      </c>
      <c r="I21" s="259">
        <f t="shared" si="4"/>
        <v>4100000</v>
      </c>
      <c r="J21" s="259">
        <f t="shared" si="4"/>
        <v>4200000</v>
      </c>
      <c r="K21" s="259">
        <f t="shared" si="4"/>
        <v>4150000</v>
      </c>
      <c r="L21" s="259">
        <f t="shared" si="4"/>
        <v>4150000</v>
      </c>
      <c r="M21" s="259">
        <f t="shared" si="4"/>
        <v>4200000</v>
      </c>
      <c r="N21" s="259">
        <f t="shared" si="4"/>
        <v>4100000</v>
      </c>
      <c r="O21" s="259">
        <f>O19+O20</f>
        <v>51750000</v>
      </c>
      <c r="P21" s="103">
        <f>P19+P20</f>
        <v>51000000</v>
      </c>
      <c r="Q21" s="103">
        <f>Q19+Q20</f>
        <v>48000000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200000</v>
      </c>
      <c r="D23" s="257">
        <f t="shared" ref="D23:N23" si="5">IF(D21*5%&lt;500000,D21*5%,500000)</f>
        <v>200000</v>
      </c>
      <c r="E23" s="257">
        <f t="shared" si="5"/>
        <v>200000</v>
      </c>
      <c r="F23" s="257">
        <f t="shared" si="5"/>
        <v>200000</v>
      </c>
      <c r="G23" s="257">
        <f>IF(G21*5%&lt;500000,G21*5%,500000)</f>
        <v>200000</v>
      </c>
      <c r="H23" s="257">
        <f t="shared" si="5"/>
        <v>202500</v>
      </c>
      <c r="I23" s="257">
        <f t="shared" si="5"/>
        <v>205000</v>
      </c>
      <c r="J23" s="257">
        <f t="shared" si="5"/>
        <v>210000</v>
      </c>
      <c r="K23" s="257">
        <f t="shared" si="5"/>
        <v>207500</v>
      </c>
      <c r="L23" s="257">
        <f t="shared" si="5"/>
        <v>207500</v>
      </c>
      <c r="M23" s="257">
        <f t="shared" si="5"/>
        <v>210000</v>
      </c>
      <c r="N23" s="257">
        <f t="shared" si="5"/>
        <v>205000</v>
      </c>
      <c r="O23" s="257">
        <f>IF(O21*5%&lt;6000000,O21*5%,6000000)</f>
        <v>2587500</v>
      </c>
      <c r="P23" s="110">
        <f>IF(P21*5%&lt;6000000,P21*5%,6000000)</f>
        <v>2550000</v>
      </c>
      <c r="Q23" s="110">
        <f>IF(Q21*5%&lt;6000000,Q21*5%,6000000)</f>
        <v>2400000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200000</v>
      </c>
      <c r="D26" s="257">
        <f t="shared" si="6"/>
        <v>200000</v>
      </c>
      <c r="E26" s="257">
        <f t="shared" si="6"/>
        <v>200000</v>
      </c>
      <c r="F26" s="257">
        <f t="shared" si="6"/>
        <v>200000</v>
      </c>
      <c r="G26" s="257">
        <f>SUM(G23:G25)</f>
        <v>200000</v>
      </c>
      <c r="H26" s="257">
        <f t="shared" si="6"/>
        <v>202500</v>
      </c>
      <c r="I26" s="257">
        <f t="shared" si="6"/>
        <v>205000</v>
      </c>
      <c r="J26" s="257">
        <f t="shared" si="6"/>
        <v>210000</v>
      </c>
      <c r="K26" s="257">
        <f t="shared" si="6"/>
        <v>207500</v>
      </c>
      <c r="L26" s="257">
        <f t="shared" si="6"/>
        <v>207500</v>
      </c>
      <c r="M26" s="257">
        <f t="shared" si="6"/>
        <v>210000</v>
      </c>
      <c r="N26" s="257">
        <f t="shared" si="6"/>
        <v>205000</v>
      </c>
      <c r="O26" s="263">
        <f>SUM(O22:O25)</f>
        <v>2587500</v>
      </c>
      <c r="P26" s="103">
        <f>SUM(P23:P25)</f>
        <v>2550000</v>
      </c>
      <c r="Q26" s="103">
        <f>SUM(Q23:Q25)</f>
        <v>2400000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3800000</v>
      </c>
      <c r="D28" s="255">
        <f t="shared" ref="D28:O28" si="7">D21-D26</f>
        <v>3800000</v>
      </c>
      <c r="E28" s="255">
        <f t="shared" si="7"/>
        <v>3800000</v>
      </c>
      <c r="F28" s="255">
        <f t="shared" si="7"/>
        <v>3800000</v>
      </c>
      <c r="G28" s="255">
        <f>G21-G26</f>
        <v>3800000</v>
      </c>
      <c r="H28" s="255">
        <f t="shared" si="7"/>
        <v>3847500</v>
      </c>
      <c r="I28" s="255">
        <f t="shared" si="7"/>
        <v>3895000</v>
      </c>
      <c r="J28" s="255">
        <f t="shared" si="7"/>
        <v>3990000</v>
      </c>
      <c r="K28" s="255">
        <f t="shared" si="7"/>
        <v>3942500</v>
      </c>
      <c r="L28" s="255">
        <f t="shared" si="7"/>
        <v>3942500</v>
      </c>
      <c r="M28" s="255">
        <f t="shared" si="7"/>
        <v>3990000</v>
      </c>
      <c r="N28" s="255">
        <f t="shared" si="7"/>
        <v>3895000</v>
      </c>
      <c r="O28" s="255">
        <f t="shared" si="7"/>
        <v>49162500</v>
      </c>
      <c r="P28" s="103">
        <f>P21-P26</f>
        <v>48450000</v>
      </c>
      <c r="Q28" s="103">
        <f>Q21-Q26</f>
        <v>45600000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45600000</v>
      </c>
      <c r="D30" s="253">
        <f>SUM(C28:D28)*D10/D11</f>
        <v>45600000</v>
      </c>
      <c r="E30" s="253">
        <f>SUM(C28:E28)*E10/E11</f>
        <v>45600000</v>
      </c>
      <c r="F30" s="253">
        <f>SUM(C28:F28)*F10/F11</f>
        <v>45600000</v>
      </c>
      <c r="G30" s="253">
        <f>SUM(C28:G28)*G10/G11</f>
        <v>45600000</v>
      </c>
      <c r="H30" s="253">
        <f>SUM(C28:H28)*H10/H11</f>
        <v>45695000</v>
      </c>
      <c r="I30" s="253">
        <f>SUM(C28:I28)*I10/I11</f>
        <v>45844285.714285716</v>
      </c>
      <c r="J30" s="253">
        <f>SUM(C28:J28)*J10/J11</f>
        <v>46098750</v>
      </c>
      <c r="K30" s="253">
        <f>SUM(C28:K28)*K10/K11</f>
        <v>46233333.333333336</v>
      </c>
      <c r="L30" s="253">
        <f>SUM(C28:L28)*L10/L11</f>
        <v>46341000</v>
      </c>
      <c r="M30" s="253">
        <f>SUM(C28:M28)*M10/M11</f>
        <v>46480909.090909094</v>
      </c>
      <c r="N30" s="253">
        <f>SUM(C28:N28)*N10/N11</f>
        <v>46502500</v>
      </c>
      <c r="O30" s="254">
        <f>O28</f>
        <v>49162500</v>
      </c>
      <c r="P30" s="108">
        <f>P28</f>
        <v>48450000</v>
      </c>
      <c r="Q30" s="108">
        <f>Q28</f>
        <v>45600000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54000000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4000000</v>
      </c>
      <c r="D41" s="50">
        <f t="shared" si="14"/>
        <v>4000000</v>
      </c>
      <c r="E41" s="50">
        <f t="shared" si="14"/>
        <v>4000000</v>
      </c>
      <c r="F41" s="50">
        <f t="shared" si="14"/>
        <v>4000000</v>
      </c>
      <c r="G41" s="50">
        <f t="shared" si="14"/>
        <v>4000000</v>
      </c>
      <c r="H41" s="50">
        <f t="shared" si="14"/>
        <v>4050000</v>
      </c>
      <c r="I41" s="50">
        <f t="shared" si="14"/>
        <v>4100000</v>
      </c>
      <c r="J41" s="50">
        <f t="shared" si="14"/>
        <v>4200000</v>
      </c>
      <c r="K41" s="50">
        <f>K21-K25-K36</f>
        <v>4150000</v>
      </c>
      <c r="L41" s="50">
        <f>L21-L25-L36</f>
        <v>4150000</v>
      </c>
      <c r="M41" s="50">
        <f>M21-M25-M36</f>
        <v>4200000</v>
      </c>
      <c r="N41" s="50">
        <f>N21-N25-N36</f>
        <v>4100000</v>
      </c>
      <c r="O41" s="50">
        <f>O21-O25-O36-O38</f>
        <v>51750000</v>
      </c>
      <c r="P41" s="126">
        <f>P21-P25-P36</f>
        <v>51000000</v>
      </c>
      <c r="Q41" s="126">
        <f>Q21-Q25-Q36</f>
        <v>48000000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3600-000000000000}"/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65"/>
  <dimension ref="A1:V59"/>
  <sheetViews>
    <sheetView topLeftCell="C1" zoomScale="72" workbookViewId="0">
      <selection activeCell="O30" sqref="O30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524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2500000</v>
      </c>
      <c r="D13" s="92">
        <v>2500000</v>
      </c>
      <c r="E13" s="162">
        <v>2500000</v>
      </c>
      <c r="F13" s="92">
        <v>2500000</v>
      </c>
      <c r="G13" s="92">
        <v>2500000</v>
      </c>
      <c r="H13" s="92">
        <v>2500000</v>
      </c>
      <c r="I13" s="92">
        <v>2500000</v>
      </c>
      <c r="J13" s="92">
        <v>2500000</v>
      </c>
      <c r="K13" s="92">
        <v>2500000</v>
      </c>
      <c r="L13" s="92">
        <v>2500000</v>
      </c>
      <c r="M13" s="92">
        <v>2500000</v>
      </c>
      <c r="N13" s="92">
        <v>2500000</v>
      </c>
      <c r="O13" s="32">
        <f>SUM(C13:N13)</f>
        <v>30000000</v>
      </c>
      <c r="P13" s="123">
        <f t="shared" ref="P13:P18" si="1">Q13</f>
        <v>30000000</v>
      </c>
      <c r="Q13" s="123">
        <f>F13*12</f>
        <v>30000000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>
        <v>2850000</v>
      </c>
      <c r="H16" s="92"/>
      <c r="I16" s="92"/>
      <c r="J16" s="92">
        <v>1650000</v>
      </c>
      <c r="K16" s="92">
        <v>5560000</v>
      </c>
      <c r="L16" s="92">
        <v>1721000</v>
      </c>
      <c r="M16" s="92"/>
      <c r="N16" s="92"/>
      <c r="O16" s="32">
        <f>SUM(C16:N16)</f>
        <v>11781000</v>
      </c>
      <c r="P16" s="123">
        <f t="shared" si="1"/>
        <v>34200000</v>
      </c>
      <c r="Q16" s="123">
        <f t="shared" si="2"/>
        <v>34200000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2500000</v>
      </c>
      <c r="D19" s="37">
        <f t="shared" si="3"/>
        <v>2500000</v>
      </c>
      <c r="E19" s="37">
        <f t="shared" si="3"/>
        <v>2500000</v>
      </c>
      <c r="F19" s="37">
        <f t="shared" si="3"/>
        <v>2500000</v>
      </c>
      <c r="G19" s="37">
        <f t="shared" si="3"/>
        <v>5350000</v>
      </c>
      <c r="H19" s="37">
        <f t="shared" si="3"/>
        <v>2500000</v>
      </c>
      <c r="I19" s="37">
        <f t="shared" si="3"/>
        <v>2500000</v>
      </c>
      <c r="J19" s="37">
        <f t="shared" si="3"/>
        <v>4150000</v>
      </c>
      <c r="K19" s="37">
        <f t="shared" si="3"/>
        <v>8060000</v>
      </c>
      <c r="L19" s="37">
        <f t="shared" si="3"/>
        <v>4221000</v>
      </c>
      <c r="M19" s="37">
        <f t="shared" si="3"/>
        <v>2500000</v>
      </c>
      <c r="N19" s="37">
        <f t="shared" si="3"/>
        <v>2500000</v>
      </c>
      <c r="O19" s="38">
        <f>SUM(O13:O18)</f>
        <v>41781000</v>
      </c>
      <c r="P19" s="103">
        <f>SUM(P13:P18)</f>
        <v>64200000</v>
      </c>
      <c r="Q19" s="103">
        <f>SUM(Q13:Q18)</f>
        <v>64200000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2000000</v>
      </c>
      <c r="P20" s="110">
        <v>2000000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2500000</v>
      </c>
      <c r="D21" s="259">
        <f t="shared" ref="D21:N21" si="4">D19+D20</f>
        <v>2500000</v>
      </c>
      <c r="E21" s="259">
        <f t="shared" si="4"/>
        <v>2500000</v>
      </c>
      <c r="F21" s="259">
        <f t="shared" si="4"/>
        <v>2500000</v>
      </c>
      <c r="G21" s="259">
        <f>G19+G20</f>
        <v>5350000</v>
      </c>
      <c r="H21" s="259">
        <f t="shared" si="4"/>
        <v>2500000</v>
      </c>
      <c r="I21" s="259">
        <f t="shared" si="4"/>
        <v>2500000</v>
      </c>
      <c r="J21" s="259">
        <f t="shared" si="4"/>
        <v>4150000</v>
      </c>
      <c r="K21" s="259">
        <f t="shared" si="4"/>
        <v>8060000</v>
      </c>
      <c r="L21" s="259">
        <f t="shared" si="4"/>
        <v>4221000</v>
      </c>
      <c r="M21" s="259">
        <f t="shared" si="4"/>
        <v>2500000</v>
      </c>
      <c r="N21" s="259">
        <f t="shared" si="4"/>
        <v>2500000</v>
      </c>
      <c r="O21" s="259">
        <f>O19+O20</f>
        <v>43781000</v>
      </c>
      <c r="P21" s="103">
        <f>P19+P20</f>
        <v>66200000</v>
      </c>
      <c r="Q21" s="103">
        <f>Q19+Q20</f>
        <v>64200000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125000</v>
      </c>
      <c r="D23" s="257">
        <f t="shared" ref="D23:N23" si="5">IF(D21*5%&lt;500000,D21*5%,500000)</f>
        <v>125000</v>
      </c>
      <c r="E23" s="257">
        <f t="shared" si="5"/>
        <v>125000</v>
      </c>
      <c r="F23" s="257">
        <f t="shared" si="5"/>
        <v>125000</v>
      </c>
      <c r="G23" s="257">
        <f>IF(G21*5%&lt;500000,G21*5%,500000)</f>
        <v>267500</v>
      </c>
      <c r="H23" s="257">
        <f t="shared" si="5"/>
        <v>125000</v>
      </c>
      <c r="I23" s="257">
        <f t="shared" si="5"/>
        <v>125000</v>
      </c>
      <c r="J23" s="257">
        <f t="shared" si="5"/>
        <v>207500</v>
      </c>
      <c r="K23" s="257">
        <f t="shared" si="5"/>
        <v>403000</v>
      </c>
      <c r="L23" s="257">
        <f t="shared" si="5"/>
        <v>211050</v>
      </c>
      <c r="M23" s="257">
        <f t="shared" si="5"/>
        <v>125000</v>
      </c>
      <c r="N23" s="257">
        <f t="shared" si="5"/>
        <v>125000</v>
      </c>
      <c r="O23" s="257">
        <f>IF(O21*5%&lt;6000000,O21*5%,6000000)</f>
        <v>2189050</v>
      </c>
      <c r="P23" s="110">
        <f>IF(P21*5%&lt;6000000,P21*5%,6000000)</f>
        <v>3310000</v>
      </c>
      <c r="Q23" s="110">
        <f>IF(Q21*5%&lt;6000000,Q21*5%,6000000)</f>
        <v>3210000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125000</v>
      </c>
      <c r="D26" s="257">
        <f t="shared" si="6"/>
        <v>125000</v>
      </c>
      <c r="E26" s="257">
        <f t="shared" si="6"/>
        <v>125000</v>
      </c>
      <c r="F26" s="257">
        <f t="shared" si="6"/>
        <v>125000</v>
      </c>
      <c r="G26" s="257">
        <f>SUM(G23:G25)</f>
        <v>267500</v>
      </c>
      <c r="H26" s="257">
        <f t="shared" si="6"/>
        <v>125000</v>
      </c>
      <c r="I26" s="257">
        <f t="shared" si="6"/>
        <v>125000</v>
      </c>
      <c r="J26" s="257">
        <f t="shared" si="6"/>
        <v>207500</v>
      </c>
      <c r="K26" s="257">
        <f t="shared" si="6"/>
        <v>403000</v>
      </c>
      <c r="L26" s="257">
        <f t="shared" si="6"/>
        <v>211050</v>
      </c>
      <c r="M26" s="257">
        <f t="shared" si="6"/>
        <v>125000</v>
      </c>
      <c r="N26" s="257">
        <f t="shared" si="6"/>
        <v>125000</v>
      </c>
      <c r="O26" s="263">
        <f>SUM(O22:O25)</f>
        <v>2189050</v>
      </c>
      <c r="P26" s="103">
        <f>SUM(P23:P25)</f>
        <v>3310000</v>
      </c>
      <c r="Q26" s="103">
        <f>SUM(Q23:Q25)</f>
        <v>3210000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2375000</v>
      </c>
      <c r="D28" s="255">
        <f t="shared" ref="D28:O28" si="7">D21-D26</f>
        <v>2375000</v>
      </c>
      <c r="E28" s="255">
        <f t="shared" si="7"/>
        <v>2375000</v>
      </c>
      <c r="F28" s="255">
        <f t="shared" si="7"/>
        <v>2375000</v>
      </c>
      <c r="G28" s="255">
        <f>G21-G26</f>
        <v>5082500</v>
      </c>
      <c r="H28" s="255">
        <f t="shared" si="7"/>
        <v>2375000</v>
      </c>
      <c r="I28" s="255">
        <f t="shared" si="7"/>
        <v>2375000</v>
      </c>
      <c r="J28" s="255">
        <f t="shared" si="7"/>
        <v>3942500</v>
      </c>
      <c r="K28" s="255">
        <f t="shared" si="7"/>
        <v>7657000</v>
      </c>
      <c r="L28" s="255">
        <f t="shared" si="7"/>
        <v>4009950</v>
      </c>
      <c r="M28" s="255">
        <f t="shared" si="7"/>
        <v>2375000</v>
      </c>
      <c r="N28" s="255">
        <f t="shared" si="7"/>
        <v>2375000</v>
      </c>
      <c r="O28" s="255">
        <f t="shared" si="7"/>
        <v>41591950</v>
      </c>
      <c r="P28" s="103">
        <f>P21-P26</f>
        <v>62890000</v>
      </c>
      <c r="Q28" s="103">
        <f>Q21-Q26</f>
        <v>60990000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28500000</v>
      </c>
      <c r="D30" s="253">
        <f>SUM(C28:D28)*D10/D11</f>
        <v>28500000</v>
      </c>
      <c r="E30" s="253">
        <f>SUM(C28:E28)*E10/E11</f>
        <v>28500000</v>
      </c>
      <c r="F30" s="253">
        <f>SUM(C28:F28)*F10/F11</f>
        <v>28500000</v>
      </c>
      <c r="G30" s="253">
        <f>SUM(C28:G28)*G10/G11</f>
        <v>34998000</v>
      </c>
      <c r="H30" s="253">
        <f>SUM(C28:H28)*H10/H11</f>
        <v>33915000</v>
      </c>
      <c r="I30" s="253">
        <f>SUM(C28:I28)*I10/I11</f>
        <v>33141428.571428571</v>
      </c>
      <c r="J30" s="253">
        <f>SUM(C28:J28)*J10/J11</f>
        <v>34912500</v>
      </c>
      <c r="K30" s="253">
        <f>SUM(C28:K28)*K10/K11</f>
        <v>41242666.666666664</v>
      </c>
      <c r="L30" s="253">
        <f>SUM(C28:L28)*L10/L11</f>
        <v>41930340</v>
      </c>
      <c r="M30" s="253">
        <f>SUM(C28:M28)*M10/M11</f>
        <v>40709400</v>
      </c>
      <c r="N30" s="253">
        <f>SUM(C28:N28)*N10/N11</f>
        <v>39691950</v>
      </c>
      <c r="O30" s="254">
        <f>O28</f>
        <v>41591950</v>
      </c>
      <c r="P30" s="108">
        <f>P28</f>
        <v>62890000</v>
      </c>
      <c r="Q30" s="108">
        <f>Q28</f>
        <v>60990000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2500000</v>
      </c>
      <c r="D41" s="50">
        <f t="shared" si="14"/>
        <v>2500000</v>
      </c>
      <c r="E41" s="50">
        <f t="shared" si="14"/>
        <v>2500000</v>
      </c>
      <c r="F41" s="50">
        <f t="shared" si="14"/>
        <v>2500000</v>
      </c>
      <c r="G41" s="50">
        <f t="shared" si="14"/>
        <v>5350000</v>
      </c>
      <c r="H41" s="50">
        <f t="shared" si="14"/>
        <v>2500000</v>
      </c>
      <c r="I41" s="50">
        <f t="shared" si="14"/>
        <v>2500000</v>
      </c>
      <c r="J41" s="50">
        <f t="shared" si="14"/>
        <v>4150000</v>
      </c>
      <c r="K41" s="50">
        <f>K21-K25-K36</f>
        <v>8060000</v>
      </c>
      <c r="L41" s="50">
        <f>L21-L25-L36</f>
        <v>4221000</v>
      </c>
      <c r="M41" s="50">
        <f>M21-M25-M36</f>
        <v>2500000</v>
      </c>
      <c r="N41" s="50">
        <f>N21-N25-N36</f>
        <v>2500000</v>
      </c>
      <c r="O41" s="50">
        <f>O21-O25-O36-O38</f>
        <v>43781000</v>
      </c>
      <c r="P41" s="126">
        <f>P21-P25-P36</f>
        <v>66200000</v>
      </c>
      <c r="Q41" s="126">
        <f>Q21-Q25-Q36</f>
        <v>64200000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3700-000000000000}"/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49"/>
  <dimension ref="A1:V59"/>
  <sheetViews>
    <sheetView zoomScale="61" workbookViewId="0">
      <selection activeCell="O23" sqref="O2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80</v>
      </c>
      <c r="Q12" s="122" t="s">
        <v>3</v>
      </c>
    </row>
    <row r="13" spans="1:17" ht="20.100000000000001" customHeight="1" x14ac:dyDescent="0.25">
      <c r="A13" s="30">
        <v>1</v>
      </c>
      <c r="B13" s="31" t="s">
        <v>9</v>
      </c>
      <c r="C13" s="150">
        <v>1500000</v>
      </c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1500000</v>
      </c>
      <c r="P13" s="123">
        <f t="shared" ref="P13:P18" si="1">Q13</f>
        <v>0</v>
      </c>
      <c r="Q13" s="123">
        <f t="shared" ref="Q13:Q18" si="2">G13*12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si="2"/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1500000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8">
        <f>SUM(O13:O18)</f>
        <v>1500000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1500000</v>
      </c>
      <c r="D21" s="259">
        <f t="shared" ref="D21:N21" si="3">D19+D20</f>
        <v>0</v>
      </c>
      <c r="E21" s="259">
        <f t="shared" si="3"/>
        <v>0</v>
      </c>
      <c r="F21" s="259">
        <f t="shared" si="3"/>
        <v>0</v>
      </c>
      <c r="G21" s="259">
        <f>G19+G20</f>
        <v>0</v>
      </c>
      <c r="H21" s="259">
        <f t="shared" si="3"/>
        <v>0</v>
      </c>
      <c r="I21" s="259">
        <f t="shared" si="3"/>
        <v>0</v>
      </c>
      <c r="J21" s="259">
        <f t="shared" si="3"/>
        <v>0</v>
      </c>
      <c r="K21" s="259">
        <f t="shared" si="3"/>
        <v>0</v>
      </c>
      <c r="L21" s="259">
        <f t="shared" si="3"/>
        <v>0</v>
      </c>
      <c r="M21" s="259">
        <f t="shared" si="3"/>
        <v>0</v>
      </c>
      <c r="N21" s="259">
        <f t="shared" si="3"/>
        <v>0</v>
      </c>
      <c r="O21" s="259">
        <f>O19+O20</f>
        <v>1500000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75000</v>
      </c>
      <c r="D23" s="257">
        <f t="shared" ref="D23:N23" si="4">IF(D21*5%&lt;500000,D21*5%,500000)</f>
        <v>0</v>
      </c>
      <c r="E23" s="257">
        <f t="shared" si="4"/>
        <v>0</v>
      </c>
      <c r="F23" s="257">
        <f t="shared" si="4"/>
        <v>0</v>
      </c>
      <c r="G23" s="257">
        <f>IF(G21*5%&lt;500000,G21*5%,500000)</f>
        <v>0</v>
      </c>
      <c r="H23" s="257">
        <f t="shared" si="4"/>
        <v>0</v>
      </c>
      <c r="I23" s="257">
        <f t="shared" si="4"/>
        <v>0</v>
      </c>
      <c r="J23" s="257">
        <f t="shared" si="4"/>
        <v>0</v>
      </c>
      <c r="K23" s="257">
        <f t="shared" si="4"/>
        <v>0</v>
      </c>
      <c r="L23" s="257">
        <f t="shared" si="4"/>
        <v>0</v>
      </c>
      <c r="M23" s="257">
        <f t="shared" si="4"/>
        <v>0</v>
      </c>
      <c r="N23" s="257">
        <f t="shared" si="4"/>
        <v>0</v>
      </c>
      <c r="O23" s="257">
        <f>IF(O21*5%&lt;6000000,O21*5%,6000000)</f>
        <v>75000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5">SUM(C23:C25)</f>
        <v>75000</v>
      </c>
      <c r="D26" s="257">
        <f t="shared" si="5"/>
        <v>0</v>
      </c>
      <c r="E26" s="257">
        <f t="shared" si="5"/>
        <v>0</v>
      </c>
      <c r="F26" s="257">
        <f t="shared" si="5"/>
        <v>0</v>
      </c>
      <c r="G26" s="257">
        <f>SUM(G23:G25)</f>
        <v>0</v>
      </c>
      <c r="H26" s="257">
        <f t="shared" si="5"/>
        <v>0</v>
      </c>
      <c r="I26" s="257">
        <f t="shared" si="5"/>
        <v>0</v>
      </c>
      <c r="J26" s="257">
        <f t="shared" si="5"/>
        <v>0</v>
      </c>
      <c r="K26" s="257">
        <f t="shared" si="5"/>
        <v>0</v>
      </c>
      <c r="L26" s="257">
        <f t="shared" si="5"/>
        <v>0</v>
      </c>
      <c r="M26" s="257">
        <f t="shared" si="5"/>
        <v>0</v>
      </c>
      <c r="N26" s="257">
        <f t="shared" si="5"/>
        <v>0</v>
      </c>
      <c r="O26" s="263">
        <f>SUM(O22:O25)</f>
        <v>75000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1425000</v>
      </c>
      <c r="D28" s="255">
        <f t="shared" ref="D28:O28" si="6">D21-D26</f>
        <v>0</v>
      </c>
      <c r="E28" s="255">
        <f t="shared" si="6"/>
        <v>0</v>
      </c>
      <c r="F28" s="255">
        <f t="shared" si="6"/>
        <v>0</v>
      </c>
      <c r="G28" s="255">
        <f>G21-G26</f>
        <v>0</v>
      </c>
      <c r="H28" s="255">
        <f t="shared" si="6"/>
        <v>0</v>
      </c>
      <c r="I28" s="255">
        <f t="shared" si="6"/>
        <v>0</v>
      </c>
      <c r="J28" s="255">
        <f t="shared" si="6"/>
        <v>0</v>
      </c>
      <c r="K28" s="255">
        <f t="shared" si="6"/>
        <v>0</v>
      </c>
      <c r="L28" s="255">
        <f t="shared" si="6"/>
        <v>0</v>
      </c>
      <c r="M28" s="255">
        <f t="shared" si="6"/>
        <v>0</v>
      </c>
      <c r="N28" s="255">
        <f t="shared" si="6"/>
        <v>0</v>
      </c>
      <c r="O28" s="255">
        <f t="shared" si="6"/>
        <v>1425000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17100000</v>
      </c>
      <c r="D30" s="253">
        <f>SUM(C28:D28)*D10/D11</f>
        <v>8550000</v>
      </c>
      <c r="E30" s="253">
        <f>SUM(C28:E28)*E10/E11</f>
        <v>5700000</v>
      </c>
      <c r="F30" s="253">
        <f>SUM(C28:F28)*F10/F11</f>
        <v>4275000</v>
      </c>
      <c r="G30" s="253">
        <f>SUM(C28:G28)*G10/G11</f>
        <v>3420000</v>
      </c>
      <c r="H30" s="253">
        <f>SUM(C28:H28)*H10/H11</f>
        <v>2850000</v>
      </c>
      <c r="I30" s="253">
        <f>SUM(C28:I28)*I10/I11</f>
        <v>2442857.1428571427</v>
      </c>
      <c r="J30" s="253">
        <f>SUM(C28:J28)*J10/J11</f>
        <v>2137500</v>
      </c>
      <c r="K30" s="253">
        <f>SUM(C28:K28)*K10/K11</f>
        <v>1900000</v>
      </c>
      <c r="L30" s="253">
        <f>SUM(C28:L28)*L10/L11</f>
        <v>1710000</v>
      </c>
      <c r="M30" s="253">
        <f>SUM(C28:M28)*M10/M11</f>
        <v>1554545.4545454546</v>
      </c>
      <c r="N30" s="253">
        <f>SUM(C28:N28)*N10/N11</f>
        <v>1425000</v>
      </c>
      <c r="O30" s="254">
        <f>O28</f>
        <v>1425000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7">IF(C30&gt;0,VLOOKUP(C9,$B$47:$C$59,2,FALSE),0)</f>
        <v>72000000</v>
      </c>
      <c r="D31" s="255">
        <f t="shared" si="7"/>
        <v>72000000</v>
      </c>
      <c r="E31" s="255">
        <f t="shared" si="7"/>
        <v>72000000</v>
      </c>
      <c r="F31" s="255">
        <f t="shared" si="7"/>
        <v>72000000</v>
      </c>
      <c r="G31" s="255">
        <f>IF(G30&gt;0,VLOOKUP(G9,$B$47:$C$59,2,FALSE),0)</f>
        <v>72000000</v>
      </c>
      <c r="H31" s="255">
        <f t="shared" si="7"/>
        <v>72000000</v>
      </c>
      <c r="I31" s="255">
        <f t="shared" si="7"/>
        <v>72000000</v>
      </c>
      <c r="J31" s="255">
        <f t="shared" si="7"/>
        <v>72000000</v>
      </c>
      <c r="K31" s="255">
        <f t="shared" si="7"/>
        <v>72000000</v>
      </c>
      <c r="L31" s="255">
        <f t="shared" si="7"/>
        <v>72000000</v>
      </c>
      <c r="M31" s="255">
        <f t="shared" si="7"/>
        <v>72000000</v>
      </c>
      <c r="N31" s="255">
        <f t="shared" si="7"/>
        <v>72000000</v>
      </c>
      <c r="O31" s="255">
        <f t="shared" si="7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8">ROUNDDOWN(IF(D30&lt;=D31,0,IF(D30&gt;D31,D30-D31)),-3)</f>
        <v>0</v>
      </c>
      <c r="E32" s="256">
        <f t="shared" si="8"/>
        <v>0</v>
      </c>
      <c r="F32" s="256">
        <f t="shared" si="8"/>
        <v>0</v>
      </c>
      <c r="G32" s="256">
        <f t="shared" si="8"/>
        <v>0</v>
      </c>
      <c r="H32" s="256">
        <f t="shared" si="8"/>
        <v>0</v>
      </c>
      <c r="I32" s="256">
        <f>ROUNDDOWN(IF(I30&lt;=I31,0,IF(I30&gt;I31,I30-I31)),-3)</f>
        <v>0</v>
      </c>
      <c r="J32" s="256">
        <f t="shared" si="8"/>
        <v>0</v>
      </c>
      <c r="K32" s="256">
        <f t="shared" si="8"/>
        <v>0</v>
      </c>
      <c r="L32" s="256">
        <f t="shared" si="8"/>
        <v>0</v>
      </c>
      <c r="M32" s="256">
        <f t="shared" si="8"/>
        <v>0</v>
      </c>
      <c r="N32" s="256">
        <f t="shared" si="8"/>
        <v>0</v>
      </c>
      <c r="O32" s="256">
        <f t="shared" si="8"/>
        <v>0</v>
      </c>
      <c r="P32" s="103">
        <f t="shared" ref="D32:Q32" si="9">ROUNDDOWN(IF(P30&lt;=P31,0,IF(P30&gt;P31,P30-P31)),-3)</f>
        <v>0</v>
      </c>
      <c r="Q32" s="103">
        <f t="shared" si="9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0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0"/>
        <v>0</v>
      </c>
      <c r="E33" s="257">
        <f t="shared" si="10"/>
        <v>0</v>
      </c>
      <c r="F33" s="257">
        <f t="shared" si="10"/>
        <v>0</v>
      </c>
      <c r="G33" s="257">
        <f t="shared" si="10"/>
        <v>0</v>
      </c>
      <c r="H33" s="257">
        <f t="shared" si="10"/>
        <v>0</v>
      </c>
      <c r="I33" s="257">
        <f t="shared" si="10"/>
        <v>0</v>
      </c>
      <c r="J33" s="257">
        <f t="shared" si="10"/>
        <v>0</v>
      </c>
      <c r="K33" s="257">
        <f t="shared" si="10"/>
        <v>0</v>
      </c>
      <c r="L33" s="257">
        <f t="shared" si="10"/>
        <v>0</v>
      </c>
      <c r="M33" s="257">
        <f t="shared" si="10"/>
        <v>0</v>
      </c>
      <c r="N33" s="257">
        <f t="shared" si="10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103">
        <f>IF(P32&lt;0,0,IF(P32&lt;50000000,P32*5%,IF(P32&lt;250000000,(P32-50000000)*15%+2500000,IF(P32&lt;500000000,(P32-250000000)*25%+32500000,IF(P32&gt;500000000,(P32-500000000)*30%+95000000)))))</f>
        <v>0</v>
      </c>
      <c r="Q33" s="103">
        <f>IF(Q32&lt;0,0,IF(Q32&lt;50000000,Q32*5%,IF(Q32&lt;250000000,(Q32-50000000)*15%+2500000,IF(Q32&lt;500000000,(Q32-250000000)*25%+32500000,IF(Q32&gt;500000000,(Q32-500000000)*30%+95000000)))))</f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1">D33-D34</f>
        <v>0</v>
      </c>
      <c r="E35" s="255">
        <f t="shared" si="11"/>
        <v>0</v>
      </c>
      <c r="F35" s="255">
        <f t="shared" si="11"/>
        <v>0</v>
      </c>
      <c r="G35" s="255">
        <f t="shared" si="11"/>
        <v>0</v>
      </c>
      <c r="H35" s="255">
        <f t="shared" si="11"/>
        <v>0</v>
      </c>
      <c r="I35" s="255">
        <f t="shared" si="11"/>
        <v>0</v>
      </c>
      <c r="J35" s="255">
        <f t="shared" si="11"/>
        <v>0</v>
      </c>
      <c r="K35" s="255">
        <f t="shared" si="11"/>
        <v>0</v>
      </c>
      <c r="L35" s="255">
        <f t="shared" si="11"/>
        <v>0</v>
      </c>
      <c r="M35" s="255">
        <f t="shared" si="11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2">C21-C25-C36</f>
        <v>1500000</v>
      </c>
      <c r="D41" s="50">
        <f t="shared" si="12"/>
        <v>0</v>
      </c>
      <c r="E41" s="50">
        <f t="shared" si="12"/>
        <v>0</v>
      </c>
      <c r="F41" s="50">
        <f t="shared" si="12"/>
        <v>0</v>
      </c>
      <c r="G41" s="50">
        <f t="shared" si="12"/>
        <v>0</v>
      </c>
      <c r="H41" s="50">
        <f t="shared" si="12"/>
        <v>0</v>
      </c>
      <c r="I41" s="50">
        <f t="shared" si="12"/>
        <v>0</v>
      </c>
      <c r="J41" s="50">
        <f t="shared" si="12"/>
        <v>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0</v>
      </c>
      <c r="O41" s="50">
        <f>O21-O25-O36-O38</f>
        <v>1500000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3800-000000000000}"/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0"/>
  <dimension ref="A1:V55"/>
  <sheetViews>
    <sheetView topLeftCell="C1" zoomScale="67" workbookViewId="0">
      <selection activeCell="O23" sqref="O2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696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80</v>
      </c>
      <c r="Q12" s="122" t="s">
        <v>3</v>
      </c>
    </row>
    <row r="13" spans="1:17" ht="20.100000000000001" customHeight="1" x14ac:dyDescent="0.25">
      <c r="A13" s="30">
        <v>1</v>
      </c>
      <c r="B13" s="31" t="s">
        <v>9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>
        <v>454545</v>
      </c>
      <c r="O13" s="32">
        <f>SUM(C13:N13)</f>
        <v>454545</v>
      </c>
      <c r="P13" s="123">
        <f t="shared" ref="P13:P18" si="1">Q13</f>
        <v>0</v>
      </c>
      <c r="Q13" s="123">
        <f t="shared" ref="Q13:Q18" si="2">G13*12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si="2"/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0</v>
      </c>
      <c r="D19" s="37">
        <f t="shared" si="3"/>
        <v>0</v>
      </c>
      <c r="E19" s="37">
        <f t="shared" si="3"/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 t="shared" si="3"/>
        <v>0</v>
      </c>
      <c r="M19" s="37">
        <f t="shared" si="3"/>
        <v>0</v>
      </c>
      <c r="N19" s="37">
        <f t="shared" si="3"/>
        <v>454545</v>
      </c>
      <c r="O19" s="38">
        <f>SUM(O13:O18)</f>
        <v>454545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0</v>
      </c>
      <c r="D21" s="259">
        <f t="shared" ref="D21:N21" si="4">D19+D20</f>
        <v>0</v>
      </c>
      <c r="E21" s="259">
        <f t="shared" si="4"/>
        <v>0</v>
      </c>
      <c r="F21" s="259">
        <f t="shared" si="4"/>
        <v>0</v>
      </c>
      <c r="G21" s="259">
        <f>G19+G20</f>
        <v>0</v>
      </c>
      <c r="H21" s="259">
        <f t="shared" si="4"/>
        <v>0</v>
      </c>
      <c r="I21" s="259">
        <f t="shared" si="4"/>
        <v>0</v>
      </c>
      <c r="J21" s="259">
        <f t="shared" si="4"/>
        <v>0</v>
      </c>
      <c r="K21" s="259">
        <f t="shared" si="4"/>
        <v>0</v>
      </c>
      <c r="L21" s="259">
        <f t="shared" si="4"/>
        <v>0</v>
      </c>
      <c r="M21" s="259">
        <f t="shared" si="4"/>
        <v>0</v>
      </c>
      <c r="N21" s="259">
        <f t="shared" si="4"/>
        <v>454545</v>
      </c>
      <c r="O21" s="259">
        <f>O19+O20</f>
        <v>454545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0</v>
      </c>
      <c r="D23" s="257">
        <f t="shared" ref="D23:N23" si="5">IF(D21*5%&lt;500000,D21*5%,500000)</f>
        <v>0</v>
      </c>
      <c r="E23" s="257">
        <f t="shared" si="5"/>
        <v>0</v>
      </c>
      <c r="F23" s="257">
        <f t="shared" si="5"/>
        <v>0</v>
      </c>
      <c r="G23" s="257">
        <f>IF(G21*5%&lt;500000,G21*5%,500000)</f>
        <v>0</v>
      </c>
      <c r="H23" s="257">
        <f t="shared" si="5"/>
        <v>0</v>
      </c>
      <c r="I23" s="257">
        <f t="shared" si="5"/>
        <v>0</v>
      </c>
      <c r="J23" s="257">
        <f t="shared" si="5"/>
        <v>0</v>
      </c>
      <c r="K23" s="257">
        <f t="shared" si="5"/>
        <v>0</v>
      </c>
      <c r="L23" s="257">
        <f t="shared" si="5"/>
        <v>0</v>
      </c>
      <c r="M23" s="257">
        <f t="shared" si="5"/>
        <v>0</v>
      </c>
      <c r="N23" s="257">
        <f t="shared" si="5"/>
        <v>22727.25</v>
      </c>
      <c r="O23" s="257">
        <f>IF(O21*5%&lt;6000000,O21*5%,6000000)</f>
        <v>22727.25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0</v>
      </c>
      <c r="D26" s="257">
        <f t="shared" si="6"/>
        <v>0</v>
      </c>
      <c r="E26" s="257">
        <f t="shared" si="6"/>
        <v>0</v>
      </c>
      <c r="F26" s="257">
        <f t="shared" si="6"/>
        <v>0</v>
      </c>
      <c r="G26" s="257">
        <f>SUM(G23:G25)</f>
        <v>0</v>
      </c>
      <c r="H26" s="257">
        <f t="shared" si="6"/>
        <v>0</v>
      </c>
      <c r="I26" s="257">
        <f t="shared" si="6"/>
        <v>0</v>
      </c>
      <c r="J26" s="257">
        <f t="shared" si="6"/>
        <v>0</v>
      </c>
      <c r="K26" s="257">
        <f t="shared" si="6"/>
        <v>0</v>
      </c>
      <c r="L26" s="257">
        <f t="shared" si="6"/>
        <v>0</v>
      </c>
      <c r="M26" s="257">
        <f t="shared" si="6"/>
        <v>0</v>
      </c>
      <c r="N26" s="257">
        <f t="shared" si="6"/>
        <v>22727.25</v>
      </c>
      <c r="O26" s="263">
        <f>SUM(O22:O25)</f>
        <v>22727.25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0</v>
      </c>
      <c r="D28" s="255">
        <f t="shared" ref="D28:O28" si="7">D21-D26</f>
        <v>0</v>
      </c>
      <c r="E28" s="255">
        <f t="shared" si="7"/>
        <v>0</v>
      </c>
      <c r="F28" s="255">
        <f t="shared" si="7"/>
        <v>0</v>
      </c>
      <c r="G28" s="255">
        <f>G21-G26</f>
        <v>0</v>
      </c>
      <c r="H28" s="255">
        <f t="shared" si="7"/>
        <v>0</v>
      </c>
      <c r="I28" s="255">
        <f t="shared" si="7"/>
        <v>0</v>
      </c>
      <c r="J28" s="255">
        <f t="shared" si="7"/>
        <v>0</v>
      </c>
      <c r="K28" s="255">
        <f t="shared" si="7"/>
        <v>0</v>
      </c>
      <c r="L28" s="255">
        <f t="shared" si="7"/>
        <v>0</v>
      </c>
      <c r="M28" s="255">
        <f t="shared" si="7"/>
        <v>0</v>
      </c>
      <c r="N28" s="255">
        <f t="shared" si="7"/>
        <v>431817.75</v>
      </c>
      <c r="O28" s="255">
        <f t="shared" si="7"/>
        <v>431817.75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0</v>
      </c>
      <c r="D30" s="253">
        <f>SUM(C28:D28)*D10/D11</f>
        <v>0</v>
      </c>
      <c r="E30" s="253">
        <f>SUM(C28:E28)*E10/E11</f>
        <v>0</v>
      </c>
      <c r="F30" s="253">
        <f>SUM(C28:F28)*F10/F11</f>
        <v>0</v>
      </c>
      <c r="G30" s="253">
        <f>SUM(C28:G28)*G10/G11</f>
        <v>0</v>
      </c>
      <c r="H30" s="253">
        <f>SUM(C28:H28)*H10/H11</f>
        <v>0</v>
      </c>
      <c r="I30" s="253">
        <f>SUM(C28:I28)*I10/I11</f>
        <v>0</v>
      </c>
      <c r="J30" s="253">
        <f>SUM(C28:J28)*J10/J11</f>
        <v>0</v>
      </c>
      <c r="K30" s="253">
        <f>SUM(C28:K28)*K10/K11</f>
        <v>0</v>
      </c>
      <c r="L30" s="253">
        <f>SUM(C28:L28)*L10/L11</f>
        <v>0</v>
      </c>
      <c r="M30" s="253">
        <f>SUM(C28:M28)*M10/M11</f>
        <v>0</v>
      </c>
      <c r="N30" s="253">
        <f>SUM(C28:N28)*N10/N11</f>
        <v>431817.75</v>
      </c>
      <c r="O30" s="254">
        <f>O28</f>
        <v>431817.75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0</v>
      </c>
      <c r="D31" s="255">
        <f t="shared" si="8"/>
        <v>0</v>
      </c>
      <c r="E31" s="255">
        <f t="shared" si="8"/>
        <v>0</v>
      </c>
      <c r="F31" s="255">
        <f t="shared" si="8"/>
        <v>0</v>
      </c>
      <c r="G31" s="255">
        <f>IF(G30&gt;0,VLOOKUP(G9,$B$47:$C$59,2,FALSE),0)</f>
        <v>0</v>
      </c>
      <c r="H31" s="255">
        <f t="shared" si="8"/>
        <v>0</v>
      </c>
      <c r="I31" s="255">
        <f t="shared" si="8"/>
        <v>0</v>
      </c>
      <c r="J31" s="255">
        <f t="shared" si="8"/>
        <v>0</v>
      </c>
      <c r="K31" s="255">
        <f t="shared" si="8"/>
        <v>0</v>
      </c>
      <c r="L31" s="255">
        <f t="shared" si="8"/>
        <v>0</v>
      </c>
      <c r="M31" s="255">
        <f t="shared" si="8"/>
        <v>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103">
        <f>IF(Q32&lt;0,0,IF(Q32&lt;50000000,Q32*5%,IF(Q32&lt;250000000,(Q32-50000000)*15%+2500000,IF(Q32&lt;500000000,(Q32-250000000)*25%+32500000,IF(Q32&gt;500000000,(Q32-500000000)*30%+95000000)))))</f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2">D33-D34</f>
        <v>0</v>
      </c>
      <c r="E35" s="255">
        <f t="shared" si="12"/>
        <v>0</v>
      </c>
      <c r="F35" s="255">
        <f t="shared" si="12"/>
        <v>0</v>
      </c>
      <c r="G35" s="255">
        <f t="shared" si="12"/>
        <v>0</v>
      </c>
      <c r="H35" s="255">
        <f t="shared" si="12"/>
        <v>0</v>
      </c>
      <c r="I35" s="255">
        <f t="shared" si="12"/>
        <v>0</v>
      </c>
      <c r="J35" s="255">
        <f t="shared" si="12"/>
        <v>0</v>
      </c>
      <c r="K35" s="255">
        <f t="shared" si="12"/>
        <v>0</v>
      </c>
      <c r="L35" s="255">
        <f t="shared" si="12"/>
        <v>0</v>
      </c>
      <c r="M35" s="255">
        <f t="shared" si="12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3">C21-C25-C36</f>
        <v>0</v>
      </c>
      <c r="D41" s="50">
        <f t="shared" si="13"/>
        <v>0</v>
      </c>
      <c r="E41" s="50">
        <f t="shared" si="13"/>
        <v>0</v>
      </c>
      <c r="F41" s="50">
        <f t="shared" si="13"/>
        <v>0</v>
      </c>
      <c r="G41" s="50">
        <f t="shared" si="13"/>
        <v>0</v>
      </c>
      <c r="H41" s="50">
        <f t="shared" si="13"/>
        <v>0</v>
      </c>
      <c r="I41" s="50">
        <f t="shared" si="13"/>
        <v>0</v>
      </c>
      <c r="J41" s="50">
        <f t="shared" si="13"/>
        <v>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454545</v>
      </c>
      <c r="O41" s="50">
        <f>O21-O25-O36-O38</f>
        <v>454545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s="62" customFormat="1" x14ac:dyDescent="0.25">
      <c r="B43" s="63" t="s">
        <v>65</v>
      </c>
      <c r="C43" s="63" t="s">
        <v>66</v>
      </c>
      <c r="P43" s="118"/>
      <c r="Q43" s="118"/>
    </row>
    <row r="44" spans="1:22" x14ac:dyDescent="0.25">
      <c r="B44" s="8" t="s">
        <v>67</v>
      </c>
      <c r="C44" s="119">
        <v>54000000</v>
      </c>
    </row>
    <row r="45" spans="1:22" x14ac:dyDescent="0.25">
      <c r="B45" s="8" t="s">
        <v>93</v>
      </c>
      <c r="C45" s="119">
        <v>58500000</v>
      </c>
    </row>
    <row r="46" spans="1:22" x14ac:dyDescent="0.25">
      <c r="B46" s="8" t="s">
        <v>94</v>
      </c>
      <c r="C46" s="119">
        <v>63000000</v>
      </c>
    </row>
    <row r="47" spans="1:22" x14ac:dyDescent="0.25">
      <c r="B47" s="8" t="s">
        <v>95</v>
      </c>
      <c r="C47" s="119">
        <v>67500000</v>
      </c>
    </row>
    <row r="48" spans="1:22" x14ac:dyDescent="0.25">
      <c r="B48" s="8" t="s">
        <v>68</v>
      </c>
      <c r="C48" s="119">
        <v>58500000</v>
      </c>
    </row>
    <row r="49" spans="2:17" x14ac:dyDescent="0.25">
      <c r="B49" s="8" t="s">
        <v>69</v>
      </c>
      <c r="C49" s="119">
        <v>63000000</v>
      </c>
    </row>
    <row r="50" spans="2:17" x14ac:dyDescent="0.25">
      <c r="B50" s="8" t="s">
        <v>50</v>
      </c>
      <c r="C50" s="119">
        <v>67500000</v>
      </c>
    </row>
    <row r="51" spans="2:17" x14ac:dyDescent="0.25">
      <c r="B51" s="8" t="s">
        <v>64</v>
      </c>
      <c r="C51" s="119">
        <v>72000000</v>
      </c>
    </row>
    <row r="52" spans="2:17" x14ac:dyDescent="0.25">
      <c r="B52" s="8" t="s">
        <v>96</v>
      </c>
      <c r="C52" s="119">
        <v>112500000</v>
      </c>
    </row>
    <row r="53" spans="2:17" x14ac:dyDescent="0.25">
      <c r="B53" s="8" t="s">
        <v>97</v>
      </c>
      <c r="C53" s="119">
        <v>117000000</v>
      </c>
    </row>
    <row r="54" spans="2:17" x14ac:dyDescent="0.25">
      <c r="B54" s="8" t="s">
        <v>98</v>
      </c>
      <c r="C54" s="119">
        <v>121500000</v>
      </c>
    </row>
    <row r="55" spans="2:17" x14ac:dyDescent="0.25">
      <c r="B55" s="8" t="s">
        <v>99</v>
      </c>
      <c r="C55" s="119">
        <v>126000000</v>
      </c>
      <c r="P55" s="93"/>
      <c r="Q55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13:N13 D14:N18 P13:Q18" xr:uid="{00000000-0002-0000-3900-000000000000}"/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37"/>
  <dimension ref="A1:V59"/>
  <sheetViews>
    <sheetView topLeftCell="E1" zoomScale="61" workbookViewId="0">
      <selection activeCell="P33" sqref="P3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391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3000000</v>
      </c>
      <c r="D13" s="92">
        <v>3000000</v>
      </c>
      <c r="E13" s="162">
        <v>3000000</v>
      </c>
      <c r="F13" s="92">
        <v>3000000</v>
      </c>
      <c r="G13" s="92">
        <v>3000000</v>
      </c>
      <c r="H13" s="92">
        <v>3050000</v>
      </c>
      <c r="I13" s="92">
        <v>3050000</v>
      </c>
      <c r="J13" s="92">
        <v>3000000</v>
      </c>
      <c r="K13" s="92">
        <v>3100000</v>
      </c>
      <c r="L13" s="92">
        <v>3100000</v>
      </c>
      <c r="M13" s="92">
        <v>3150000</v>
      </c>
      <c r="N13" s="92">
        <v>3050000</v>
      </c>
      <c r="O13" s="32">
        <f>SUM(C13:N13)</f>
        <v>36500000</v>
      </c>
      <c r="P13" s="123">
        <f t="shared" ref="P13:P18" si="1">Q13</f>
        <v>36000000</v>
      </c>
      <c r="Q13" s="123">
        <f>F13*12</f>
        <v>36000000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>
        <v>100000</v>
      </c>
      <c r="K16" s="92"/>
      <c r="L16" s="92"/>
      <c r="M16" s="92"/>
      <c r="N16" s="92"/>
      <c r="O16" s="32">
        <f>SUM(C16:N16)</f>
        <v>100000</v>
      </c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3000000</v>
      </c>
      <c r="D19" s="37">
        <f t="shared" si="3"/>
        <v>3000000</v>
      </c>
      <c r="E19" s="37">
        <f t="shared" si="3"/>
        <v>3000000</v>
      </c>
      <c r="F19" s="37">
        <f t="shared" si="3"/>
        <v>3000000</v>
      </c>
      <c r="G19" s="37">
        <f t="shared" si="3"/>
        <v>3000000</v>
      </c>
      <c r="H19" s="37">
        <f t="shared" si="3"/>
        <v>3050000</v>
      </c>
      <c r="I19" s="37">
        <f t="shared" si="3"/>
        <v>3050000</v>
      </c>
      <c r="J19" s="37">
        <f t="shared" si="3"/>
        <v>3100000</v>
      </c>
      <c r="K19" s="37">
        <f t="shared" si="3"/>
        <v>3100000</v>
      </c>
      <c r="L19" s="37">
        <f t="shared" si="3"/>
        <v>3100000</v>
      </c>
      <c r="M19" s="37">
        <f t="shared" si="3"/>
        <v>3150000</v>
      </c>
      <c r="N19" s="37">
        <f t="shared" si="3"/>
        <v>3050000</v>
      </c>
      <c r="O19" s="38">
        <f>SUM(O13:O18)</f>
        <v>36600000</v>
      </c>
      <c r="P19" s="103">
        <f>SUM(P13:P18)</f>
        <v>36000000</v>
      </c>
      <c r="Q19" s="103">
        <f>SUM(Q13:Q18)</f>
        <v>36000000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2000000</v>
      </c>
      <c r="P20" s="110">
        <v>2000000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3000000</v>
      </c>
      <c r="D21" s="259">
        <f t="shared" ref="D21:N21" si="4">D19+D20</f>
        <v>3000000</v>
      </c>
      <c r="E21" s="259">
        <f t="shared" si="4"/>
        <v>3000000</v>
      </c>
      <c r="F21" s="259">
        <f t="shared" si="4"/>
        <v>3000000</v>
      </c>
      <c r="G21" s="259">
        <f>G19+G20</f>
        <v>3000000</v>
      </c>
      <c r="H21" s="259">
        <f t="shared" si="4"/>
        <v>3050000</v>
      </c>
      <c r="I21" s="259">
        <f t="shared" si="4"/>
        <v>3050000</v>
      </c>
      <c r="J21" s="259">
        <f t="shared" si="4"/>
        <v>3100000</v>
      </c>
      <c r="K21" s="259">
        <f t="shared" si="4"/>
        <v>3100000</v>
      </c>
      <c r="L21" s="259">
        <f t="shared" si="4"/>
        <v>3100000</v>
      </c>
      <c r="M21" s="259">
        <f t="shared" si="4"/>
        <v>3150000</v>
      </c>
      <c r="N21" s="259">
        <f t="shared" si="4"/>
        <v>3050000</v>
      </c>
      <c r="O21" s="259">
        <f>O19+O20</f>
        <v>38600000</v>
      </c>
      <c r="P21" s="103">
        <f>P19+P20</f>
        <v>38000000</v>
      </c>
      <c r="Q21" s="103">
        <f>Q19+Q20</f>
        <v>36000000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150000</v>
      </c>
      <c r="D23" s="257">
        <f t="shared" ref="D23:N23" si="5">IF(D21*5%&lt;500000,D21*5%,500000)</f>
        <v>150000</v>
      </c>
      <c r="E23" s="257">
        <f t="shared" si="5"/>
        <v>150000</v>
      </c>
      <c r="F23" s="257">
        <f t="shared" si="5"/>
        <v>150000</v>
      </c>
      <c r="G23" s="257">
        <f>IF(G21*5%&lt;500000,G21*5%,500000)</f>
        <v>150000</v>
      </c>
      <c r="H23" s="257">
        <f t="shared" si="5"/>
        <v>152500</v>
      </c>
      <c r="I23" s="257">
        <f t="shared" si="5"/>
        <v>152500</v>
      </c>
      <c r="J23" s="257">
        <f t="shared" si="5"/>
        <v>155000</v>
      </c>
      <c r="K23" s="257">
        <f t="shared" si="5"/>
        <v>155000</v>
      </c>
      <c r="L23" s="257">
        <f t="shared" si="5"/>
        <v>155000</v>
      </c>
      <c r="M23" s="257">
        <f t="shared" si="5"/>
        <v>157500</v>
      </c>
      <c r="N23" s="257">
        <f t="shared" si="5"/>
        <v>152500</v>
      </c>
      <c r="O23" s="257">
        <f>IF(O21*5%&lt;6000000,O21*5%,6000000)</f>
        <v>1930000</v>
      </c>
      <c r="P23" s="110">
        <f>IF(P21*5%&lt;6000000,P21*5%,6000000)</f>
        <v>1900000</v>
      </c>
      <c r="Q23" s="110">
        <f>IF(Q21*5%&lt;6000000,Q21*5%,6000000)</f>
        <v>1800000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150000</v>
      </c>
      <c r="D26" s="257">
        <f t="shared" si="6"/>
        <v>150000</v>
      </c>
      <c r="E26" s="257">
        <f t="shared" si="6"/>
        <v>150000</v>
      </c>
      <c r="F26" s="257">
        <f t="shared" si="6"/>
        <v>150000</v>
      </c>
      <c r="G26" s="257">
        <f>SUM(G23:G25)</f>
        <v>150000</v>
      </c>
      <c r="H26" s="257">
        <f t="shared" si="6"/>
        <v>152500</v>
      </c>
      <c r="I26" s="257">
        <f t="shared" si="6"/>
        <v>152500</v>
      </c>
      <c r="J26" s="257">
        <f t="shared" si="6"/>
        <v>155000</v>
      </c>
      <c r="K26" s="257">
        <f t="shared" si="6"/>
        <v>155000</v>
      </c>
      <c r="L26" s="257">
        <f t="shared" si="6"/>
        <v>155000</v>
      </c>
      <c r="M26" s="257">
        <f t="shared" si="6"/>
        <v>157500</v>
      </c>
      <c r="N26" s="257">
        <f t="shared" si="6"/>
        <v>152500</v>
      </c>
      <c r="O26" s="263">
        <f>SUM(O22:O25)</f>
        <v>1930000</v>
      </c>
      <c r="P26" s="103">
        <f>SUM(P23:P25)</f>
        <v>1900000</v>
      </c>
      <c r="Q26" s="103">
        <f>SUM(Q23:Q25)</f>
        <v>1800000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2850000</v>
      </c>
      <c r="D28" s="255">
        <f t="shared" ref="D28:O28" si="7">D21-D26</f>
        <v>2850000</v>
      </c>
      <c r="E28" s="255">
        <f t="shared" si="7"/>
        <v>2850000</v>
      </c>
      <c r="F28" s="255">
        <f t="shared" si="7"/>
        <v>2850000</v>
      </c>
      <c r="G28" s="255">
        <f>G21-G26</f>
        <v>2850000</v>
      </c>
      <c r="H28" s="255">
        <f t="shared" si="7"/>
        <v>2897500</v>
      </c>
      <c r="I28" s="255">
        <f t="shared" si="7"/>
        <v>2897500</v>
      </c>
      <c r="J28" s="255">
        <f t="shared" si="7"/>
        <v>2945000</v>
      </c>
      <c r="K28" s="255">
        <f t="shared" si="7"/>
        <v>2945000</v>
      </c>
      <c r="L28" s="255">
        <f t="shared" si="7"/>
        <v>2945000</v>
      </c>
      <c r="M28" s="255">
        <f t="shared" si="7"/>
        <v>2992500</v>
      </c>
      <c r="N28" s="255">
        <f t="shared" si="7"/>
        <v>2897500</v>
      </c>
      <c r="O28" s="255">
        <f t="shared" si="7"/>
        <v>36670000</v>
      </c>
      <c r="P28" s="103">
        <f>P21-P26</f>
        <v>36100000</v>
      </c>
      <c r="Q28" s="103">
        <f>Q21-Q26</f>
        <v>34200000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34200000</v>
      </c>
      <c r="D30" s="253">
        <f>SUM(C28:D28)*D10/D11</f>
        <v>34200000</v>
      </c>
      <c r="E30" s="253">
        <f>SUM(C28:E28)*E10/E11</f>
        <v>34200000</v>
      </c>
      <c r="F30" s="253">
        <f>SUM(C28:F28)*F10/F11</f>
        <v>34200000</v>
      </c>
      <c r="G30" s="253">
        <f>SUM(C28:G28)*G10/G11</f>
        <v>34200000</v>
      </c>
      <c r="H30" s="253">
        <f>SUM(C28:H28)*H10/H11</f>
        <v>34295000</v>
      </c>
      <c r="I30" s="253">
        <f>SUM(C28:I28)*I10/I11</f>
        <v>34362857.142857142</v>
      </c>
      <c r="J30" s="253">
        <f>SUM(C28:J28)*J10/J11</f>
        <v>34485000</v>
      </c>
      <c r="K30" s="253">
        <f>SUM(C28:K28)*K10/K11</f>
        <v>34580000</v>
      </c>
      <c r="L30" s="253">
        <f>SUM(C28:L28)*L10/L11</f>
        <v>34656000</v>
      </c>
      <c r="M30" s="253">
        <f>SUM(C28:M28)*M10/M11</f>
        <v>34770000</v>
      </c>
      <c r="N30" s="253">
        <f>SUM(C28:N28)*N10/N11</f>
        <v>34770000</v>
      </c>
      <c r="O30" s="254">
        <f>O28</f>
        <v>36670000</v>
      </c>
      <c r="P30" s="108">
        <f>P28</f>
        <v>36100000</v>
      </c>
      <c r="Q30" s="108">
        <f>Q28</f>
        <v>34200000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54000000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3000000</v>
      </c>
      <c r="D41" s="50">
        <f t="shared" si="14"/>
        <v>3000000</v>
      </c>
      <c r="E41" s="50">
        <f t="shared" si="14"/>
        <v>3000000</v>
      </c>
      <c r="F41" s="50">
        <f t="shared" si="14"/>
        <v>3000000</v>
      </c>
      <c r="G41" s="50">
        <f t="shared" si="14"/>
        <v>3000000</v>
      </c>
      <c r="H41" s="50">
        <f t="shared" si="14"/>
        <v>3050000</v>
      </c>
      <c r="I41" s="50">
        <f t="shared" si="14"/>
        <v>3050000</v>
      </c>
      <c r="J41" s="50">
        <f t="shared" si="14"/>
        <v>3100000</v>
      </c>
      <c r="K41" s="50">
        <f>K21-K25-K36</f>
        <v>3100000</v>
      </c>
      <c r="L41" s="50">
        <f>L21-L25-L36</f>
        <v>3100000</v>
      </c>
      <c r="M41" s="50">
        <f>M21-M25-M36</f>
        <v>3150000</v>
      </c>
      <c r="N41" s="50">
        <f>N21-N25-N36</f>
        <v>3050000</v>
      </c>
      <c r="O41" s="50">
        <f>O21-O25-O36-O38</f>
        <v>38600000</v>
      </c>
      <c r="P41" s="126">
        <f>P21-P25-P36</f>
        <v>38000000</v>
      </c>
      <c r="Q41" s="126">
        <f>Q21-Q25-Q36</f>
        <v>36000000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3A00-000000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V59"/>
  <sheetViews>
    <sheetView topLeftCell="G1" zoomScale="76" zoomScaleNormal="100" workbookViewId="0">
      <selection activeCell="N13" sqref="N13"/>
    </sheetView>
  </sheetViews>
  <sheetFormatPr defaultColWidth="9.140625" defaultRowHeight="15" x14ac:dyDescent="0.25"/>
  <cols>
    <col min="1" max="1" width="8.5703125" style="3" bestFit="1" customWidth="1"/>
    <col min="2" max="2" width="67.85546875" style="3" customWidth="1"/>
    <col min="3" max="5" width="14" style="93" bestFit="1" customWidth="1"/>
    <col min="6" max="6" width="14.28515625" style="93" customWidth="1"/>
    <col min="7" max="7" width="16.42578125" style="93" customWidth="1"/>
    <col min="8" max="8" width="14.140625" style="93" customWidth="1"/>
    <col min="9" max="13" width="13.42578125" style="93" bestFit="1" customWidth="1"/>
    <col min="14" max="14" width="14.7109375" style="93" customWidth="1"/>
    <col min="15" max="15" width="14" style="9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447</v>
      </c>
      <c r="C1" s="18"/>
      <c r="D1" s="18"/>
      <c r="E1" s="18"/>
      <c r="F1" s="18"/>
      <c r="G1" s="18"/>
      <c r="H1" s="18"/>
      <c r="I1" s="18"/>
      <c r="J1" s="18"/>
      <c r="K1" s="18"/>
      <c r="O1" s="18"/>
      <c r="P1" s="94"/>
      <c r="Q1" s="94"/>
    </row>
    <row r="2" spans="1:17" x14ac:dyDescent="0.25">
      <c r="A2" s="6" t="s">
        <v>38</v>
      </c>
      <c r="B2" s="4"/>
      <c r="C2" s="18"/>
      <c r="D2" s="18"/>
      <c r="E2" s="18"/>
      <c r="F2" s="18"/>
      <c r="G2" s="18"/>
      <c r="H2" s="18"/>
      <c r="I2" s="18"/>
      <c r="J2" s="18"/>
      <c r="K2" s="18"/>
      <c r="O2" s="18"/>
      <c r="P2" s="94"/>
      <c r="Q2" s="94"/>
    </row>
    <row r="3" spans="1:17" x14ac:dyDescent="0.25">
      <c r="A3" s="6" t="s">
        <v>53</v>
      </c>
      <c r="B3" s="4" t="s">
        <v>67</v>
      </c>
      <c r="C3" s="18"/>
      <c r="D3" s="18"/>
      <c r="E3" s="18"/>
      <c r="F3" s="18"/>
      <c r="G3" s="18"/>
      <c r="H3" s="18"/>
      <c r="I3" s="18"/>
      <c r="J3" s="18"/>
      <c r="K3" s="18"/>
      <c r="O3" s="18"/>
      <c r="P3" s="94"/>
      <c r="Q3" s="94"/>
    </row>
    <row r="4" spans="1:17" x14ac:dyDescent="0.25">
      <c r="A4" s="5" t="s">
        <v>36</v>
      </c>
      <c r="B4" s="17"/>
      <c r="C4" s="18"/>
      <c r="D4" s="18"/>
      <c r="E4" s="18"/>
      <c r="F4" s="18"/>
      <c r="G4" s="18"/>
      <c r="H4" s="18"/>
      <c r="I4" s="18"/>
      <c r="J4" s="18"/>
      <c r="K4" s="18"/>
      <c r="O4" s="18"/>
      <c r="P4" s="94"/>
      <c r="Q4" s="94"/>
    </row>
    <row r="5" spans="1:17" x14ac:dyDescent="0.25">
      <c r="A5" s="6" t="s">
        <v>77</v>
      </c>
      <c r="B5" s="4"/>
      <c r="C5" s="18"/>
      <c r="D5" s="18"/>
      <c r="E5" s="18"/>
      <c r="F5" s="18"/>
      <c r="G5" s="18"/>
      <c r="H5" s="18"/>
      <c r="I5" s="18"/>
      <c r="J5" s="18"/>
      <c r="K5" s="18"/>
      <c r="O5" s="18"/>
      <c r="P5" s="94"/>
      <c r="Q5" s="94"/>
    </row>
    <row r="6" spans="1:17" x14ac:dyDescent="0.25">
      <c r="A6" s="6"/>
      <c r="B6" s="4"/>
      <c r="C6" s="18"/>
      <c r="D6" s="18"/>
      <c r="E6" s="18"/>
      <c r="F6" s="18"/>
      <c r="G6" s="18"/>
      <c r="H6" s="18"/>
      <c r="I6" s="18"/>
      <c r="J6" s="18"/>
      <c r="K6" s="18"/>
      <c r="O6" s="18"/>
      <c r="P6" s="94"/>
      <c r="Q6" s="94"/>
    </row>
    <row r="7" spans="1:17" x14ac:dyDescent="0.25">
      <c r="A7" s="6"/>
      <c r="B7" s="4"/>
      <c r="C7" s="18"/>
      <c r="D7" s="18"/>
      <c r="E7" s="18"/>
      <c r="F7" s="18"/>
      <c r="G7" s="18"/>
      <c r="H7" s="18"/>
      <c r="I7" s="18"/>
      <c r="J7" s="18"/>
      <c r="K7" s="18"/>
      <c r="O7" s="18"/>
      <c r="P7" s="94"/>
      <c r="Q7" s="94"/>
    </row>
    <row r="8" spans="1:17" x14ac:dyDescent="0.25">
      <c r="A8" s="6"/>
      <c r="B8" s="4"/>
      <c r="C8" s="18"/>
      <c r="D8" s="18"/>
      <c r="E8" s="18"/>
      <c r="F8" s="18"/>
      <c r="G8" s="18"/>
      <c r="H8" s="18"/>
      <c r="I8" s="18"/>
      <c r="J8" s="18"/>
      <c r="K8" s="18"/>
      <c r="O8" s="18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97" t="s">
        <v>39</v>
      </c>
      <c r="D12" s="97" t="s">
        <v>40</v>
      </c>
      <c r="E12" s="97" t="s">
        <v>41</v>
      </c>
      <c r="F12" s="97" t="s">
        <v>2</v>
      </c>
      <c r="G12" s="97" t="s">
        <v>42</v>
      </c>
      <c r="H12" s="97" t="s">
        <v>43</v>
      </c>
      <c r="I12" s="97" t="s">
        <v>44</v>
      </c>
      <c r="J12" s="97" t="s">
        <v>45</v>
      </c>
      <c r="K12" s="97" t="s">
        <v>46</v>
      </c>
      <c r="L12" s="97" t="s">
        <v>47</v>
      </c>
      <c r="M12" s="97" t="s">
        <v>48</v>
      </c>
      <c r="N12" s="97" t="s">
        <v>49</v>
      </c>
      <c r="O12" s="97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98">
        <v>20150000</v>
      </c>
      <c r="D13" s="98">
        <v>21000000</v>
      </c>
      <c r="E13" s="149">
        <v>20000000</v>
      </c>
      <c r="F13" s="98">
        <v>22000000</v>
      </c>
      <c r="G13" s="98">
        <v>20000000</v>
      </c>
      <c r="H13" s="98">
        <v>21000000</v>
      </c>
      <c r="I13" s="98">
        <v>21000000</v>
      </c>
      <c r="J13" s="98">
        <v>21000000</v>
      </c>
      <c r="K13" s="98">
        <v>21000000</v>
      </c>
      <c r="L13" s="98">
        <v>20500000</v>
      </c>
      <c r="M13" s="98">
        <v>21000000</v>
      </c>
      <c r="N13" s="98">
        <v>20000000</v>
      </c>
      <c r="O13" s="98">
        <f>SUM(C13:N13)</f>
        <v>248650000</v>
      </c>
      <c r="P13" s="123">
        <f>Q13</f>
        <v>264000000</v>
      </c>
      <c r="Q13" s="123">
        <f>F13*12</f>
        <v>264000000</v>
      </c>
    </row>
    <row r="14" spans="1:17" ht="20.100000000000001" customHeight="1" x14ac:dyDescent="0.25">
      <c r="A14" s="30">
        <v>2</v>
      </c>
      <c r="B14" s="31" t="s">
        <v>10</v>
      </c>
      <c r="C14" s="99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110">
        <v>0</v>
      </c>
      <c r="Q14" s="110">
        <v>0</v>
      </c>
    </row>
    <row r="15" spans="1:17" ht="20.100000000000001" customHeight="1" x14ac:dyDescent="0.25">
      <c r="A15" s="30">
        <v>3</v>
      </c>
      <c r="B15" s="31" t="s">
        <v>11</v>
      </c>
      <c r="C15" s="99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>
        <f>SUM(C15:N15)</f>
        <v>0</v>
      </c>
      <c r="P15" s="110">
        <v>0</v>
      </c>
      <c r="Q15" s="110">
        <v>0</v>
      </c>
    </row>
    <row r="16" spans="1:17" ht="20.100000000000001" customHeight="1" x14ac:dyDescent="0.25">
      <c r="A16" s="30">
        <v>4</v>
      </c>
      <c r="B16" s="31" t="s">
        <v>12</v>
      </c>
      <c r="C16" s="99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110">
        <v>0</v>
      </c>
      <c r="Q16" s="110">
        <v>0</v>
      </c>
    </row>
    <row r="17" spans="1:22" ht="20.100000000000001" customHeight="1" x14ac:dyDescent="0.25">
      <c r="A17" s="30">
        <v>5</v>
      </c>
      <c r="B17" s="31" t="s">
        <v>13</v>
      </c>
      <c r="C17" s="99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>
        <f>SUM(C17:N17)</f>
        <v>0</v>
      </c>
      <c r="P17" s="110">
        <v>0</v>
      </c>
      <c r="Q17" s="110">
        <v>0</v>
      </c>
    </row>
    <row r="18" spans="1:22" s="2" customFormat="1" ht="30" x14ac:dyDescent="0.25">
      <c r="A18" s="34">
        <v>6</v>
      </c>
      <c r="B18" s="35" t="s">
        <v>14</v>
      </c>
      <c r="C18" s="99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124"/>
      <c r="P18" s="125">
        <v>0</v>
      </c>
      <c r="Q18" s="125">
        <v>0</v>
      </c>
    </row>
    <row r="19" spans="1:22" ht="20.100000000000001" customHeight="1" x14ac:dyDescent="0.25">
      <c r="A19" s="30">
        <v>7</v>
      </c>
      <c r="B19" s="31" t="s">
        <v>15</v>
      </c>
      <c r="C19" s="100">
        <f t="shared" ref="C19:N19" si="1">SUM(C13:C18)</f>
        <v>20150000</v>
      </c>
      <c r="D19" s="100">
        <f t="shared" si="1"/>
        <v>21000000</v>
      </c>
      <c r="E19" s="100">
        <f t="shared" si="1"/>
        <v>20000000</v>
      </c>
      <c r="F19" s="100">
        <f t="shared" si="1"/>
        <v>22000000</v>
      </c>
      <c r="G19" s="100">
        <f t="shared" si="1"/>
        <v>20000000</v>
      </c>
      <c r="H19" s="100">
        <f t="shared" si="1"/>
        <v>21000000</v>
      </c>
      <c r="I19" s="100">
        <f t="shared" si="1"/>
        <v>21000000</v>
      </c>
      <c r="J19" s="100">
        <f t="shared" si="1"/>
        <v>21000000</v>
      </c>
      <c r="K19" s="100">
        <f t="shared" si="1"/>
        <v>21000000</v>
      </c>
      <c r="L19" s="100">
        <f t="shared" si="1"/>
        <v>20500000</v>
      </c>
      <c r="M19" s="100">
        <f t="shared" si="1"/>
        <v>21000000</v>
      </c>
      <c r="N19" s="100">
        <f t="shared" si="1"/>
        <v>20000000</v>
      </c>
      <c r="O19" s="101">
        <f>SUM(O13:O18)</f>
        <v>248650000</v>
      </c>
      <c r="P19" s="125">
        <f>SUM(P13:P18)</f>
        <v>264000000</v>
      </c>
      <c r="Q19" s="125">
        <f>SUM(Q13:Q18)</f>
        <v>264000000</v>
      </c>
    </row>
    <row r="20" spans="1:22" ht="20.100000000000001" customHeight="1" x14ac:dyDescent="0.25">
      <c r="A20" s="30">
        <v>8</v>
      </c>
      <c r="B20" s="31" t="s">
        <v>16</v>
      </c>
      <c r="C20" s="99"/>
      <c r="D20" s="99"/>
      <c r="E20" s="99"/>
      <c r="F20" s="99"/>
      <c r="G20" s="99"/>
      <c r="H20" s="99"/>
      <c r="I20" s="99"/>
      <c r="J20" s="99"/>
      <c r="K20" s="102"/>
      <c r="L20" s="102"/>
      <c r="M20" s="102"/>
      <c r="N20" s="102"/>
      <c r="O20" s="98">
        <v>5000000</v>
      </c>
      <c r="P20" s="110">
        <v>5000000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20150000</v>
      </c>
      <c r="D21" s="259">
        <f t="shared" ref="D21:N21" si="2">D19+D20</f>
        <v>21000000</v>
      </c>
      <c r="E21" s="259">
        <f t="shared" si="2"/>
        <v>20000000</v>
      </c>
      <c r="F21" s="259">
        <f t="shared" si="2"/>
        <v>22000000</v>
      </c>
      <c r="G21" s="259">
        <f>G19+G20</f>
        <v>20000000</v>
      </c>
      <c r="H21" s="259">
        <f t="shared" si="2"/>
        <v>21000000</v>
      </c>
      <c r="I21" s="259">
        <f t="shared" si="2"/>
        <v>21000000</v>
      </c>
      <c r="J21" s="259">
        <f t="shared" si="2"/>
        <v>21000000</v>
      </c>
      <c r="K21" s="259">
        <f t="shared" si="2"/>
        <v>21000000</v>
      </c>
      <c r="L21" s="259">
        <f t="shared" si="2"/>
        <v>20500000</v>
      </c>
      <c r="M21" s="259">
        <f t="shared" si="2"/>
        <v>21000000</v>
      </c>
      <c r="N21" s="259">
        <f t="shared" si="2"/>
        <v>20000000</v>
      </c>
      <c r="O21" s="259">
        <f>O19+O20</f>
        <v>253650000</v>
      </c>
      <c r="P21" s="104">
        <f>P19+P20</f>
        <v>269000000</v>
      </c>
      <c r="Q21" s="104">
        <f>Q19+Q20</f>
        <v>264000000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500000</v>
      </c>
      <c r="D23" s="257">
        <f t="shared" ref="D23:O23" si="3">IF(D21*5%&lt;500000,D21*5%,500000)</f>
        <v>500000</v>
      </c>
      <c r="E23" s="257">
        <f t="shared" si="3"/>
        <v>500000</v>
      </c>
      <c r="F23" s="257">
        <f t="shared" si="3"/>
        <v>500000</v>
      </c>
      <c r="G23" s="257">
        <f>IF(G21*5%&lt;500000,G21*5%,500000)</f>
        <v>500000</v>
      </c>
      <c r="H23" s="257">
        <f t="shared" si="3"/>
        <v>500000</v>
      </c>
      <c r="I23" s="257">
        <f t="shared" si="3"/>
        <v>500000</v>
      </c>
      <c r="J23" s="257">
        <f t="shared" si="3"/>
        <v>500000</v>
      </c>
      <c r="K23" s="257">
        <f t="shared" si="3"/>
        <v>500000</v>
      </c>
      <c r="L23" s="257">
        <f t="shared" si="3"/>
        <v>500000</v>
      </c>
      <c r="M23" s="257">
        <f t="shared" si="3"/>
        <v>500000</v>
      </c>
      <c r="N23" s="257">
        <f t="shared" si="3"/>
        <v>500000</v>
      </c>
      <c r="O23" s="257">
        <f>IF(O21*5%&lt;6000000,O21*5%,6000000)</f>
        <v>6000000</v>
      </c>
      <c r="P23" s="110">
        <f>IF(P21*5%&lt;6000000,P21*5%,6000000)</f>
        <v>6000000</v>
      </c>
      <c r="Q23" s="110">
        <f>IF(Q21*5%&lt;6000000,Q21*5%,6000000)</f>
        <v>6000000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4">SUM(C23:C25)</f>
        <v>500000</v>
      </c>
      <c r="D26" s="257">
        <f t="shared" si="4"/>
        <v>500000</v>
      </c>
      <c r="E26" s="257">
        <f t="shared" si="4"/>
        <v>500000</v>
      </c>
      <c r="F26" s="257">
        <f t="shared" si="4"/>
        <v>500000</v>
      </c>
      <c r="G26" s="257">
        <f>SUM(G23:G25)</f>
        <v>500000</v>
      </c>
      <c r="H26" s="257">
        <f t="shared" si="4"/>
        <v>500000</v>
      </c>
      <c r="I26" s="257">
        <f t="shared" si="4"/>
        <v>500000</v>
      </c>
      <c r="J26" s="257">
        <f t="shared" si="4"/>
        <v>500000</v>
      </c>
      <c r="K26" s="257">
        <f t="shared" si="4"/>
        <v>500000</v>
      </c>
      <c r="L26" s="257">
        <f t="shared" si="4"/>
        <v>500000</v>
      </c>
      <c r="M26" s="257">
        <f t="shared" si="4"/>
        <v>500000</v>
      </c>
      <c r="N26" s="257">
        <f t="shared" si="4"/>
        <v>500000</v>
      </c>
      <c r="O26" s="263">
        <f>SUM(O22:O25)</f>
        <v>6000000</v>
      </c>
      <c r="P26" s="129">
        <f>SUM(P22:P25)</f>
        <v>6000000</v>
      </c>
      <c r="Q26" s="129">
        <f>SUM(Q22:Q25)</f>
        <v>6000000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19650000</v>
      </c>
      <c r="D28" s="255">
        <f t="shared" ref="D28:O28" si="5">D21-D26</f>
        <v>20500000</v>
      </c>
      <c r="E28" s="255">
        <f t="shared" si="5"/>
        <v>19500000</v>
      </c>
      <c r="F28" s="255">
        <f t="shared" si="5"/>
        <v>21500000</v>
      </c>
      <c r="G28" s="255">
        <f>G21-G26</f>
        <v>19500000</v>
      </c>
      <c r="H28" s="255">
        <f t="shared" si="5"/>
        <v>20500000</v>
      </c>
      <c r="I28" s="255">
        <f t="shared" si="5"/>
        <v>20500000</v>
      </c>
      <c r="J28" s="255">
        <f t="shared" si="5"/>
        <v>20500000</v>
      </c>
      <c r="K28" s="255">
        <f t="shared" si="5"/>
        <v>20500000</v>
      </c>
      <c r="L28" s="255">
        <f t="shared" si="5"/>
        <v>20000000</v>
      </c>
      <c r="M28" s="255">
        <f t="shared" si="5"/>
        <v>20500000</v>
      </c>
      <c r="N28" s="255">
        <f t="shared" si="5"/>
        <v>19500000</v>
      </c>
      <c r="O28" s="255">
        <f>O21-O26</f>
        <v>247650000</v>
      </c>
      <c r="P28" s="103">
        <f>P21-P26</f>
        <v>263000000</v>
      </c>
      <c r="Q28" s="103">
        <f>Q21-Q26</f>
        <v>258000000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235800000</v>
      </c>
      <c r="D30" s="253">
        <f>SUM(C28:D28)*D10/D11</f>
        <v>240900000</v>
      </c>
      <c r="E30" s="253">
        <f>SUM(C28:E28)*E10/E11</f>
        <v>238600000</v>
      </c>
      <c r="F30" s="253">
        <f>SUM(C28:F28)*F10/F11</f>
        <v>243450000</v>
      </c>
      <c r="G30" s="253">
        <f>SUM(C28:G28)*G10/G11</f>
        <v>241560000</v>
      </c>
      <c r="H30" s="253">
        <f>SUM(C28:H28)*H10/H11</f>
        <v>242300000</v>
      </c>
      <c r="I30" s="253">
        <f>SUM(C28:I28)*I10/I11</f>
        <v>242828571.42857143</v>
      </c>
      <c r="J30" s="253">
        <f>SUM(C28:J28)*J10/J11</f>
        <v>243225000</v>
      </c>
      <c r="K30" s="253">
        <f>SUM(C28:K28)*K10/K11</f>
        <v>243533333.33333334</v>
      </c>
      <c r="L30" s="253">
        <f>SUM(C28:L28)*L10/L11</f>
        <v>243180000</v>
      </c>
      <c r="M30" s="253">
        <f>SUM(C28:M28)*M10/M11</f>
        <v>243436363.63636363</v>
      </c>
      <c r="N30" s="253">
        <f>SUM(C28:N28)*N10/N11</f>
        <v>242650000</v>
      </c>
      <c r="O30" s="254">
        <f>O28</f>
        <v>247650000</v>
      </c>
      <c r="P30" s="108">
        <f>P28</f>
        <v>263000000</v>
      </c>
      <c r="Q30" s="108">
        <f>Q28</f>
        <v>258000000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6">IF(C30&gt;0,VLOOKUP(C9,$B$47:$C$59,2,FALSE),0)</f>
        <v>54000000</v>
      </c>
      <c r="D31" s="255">
        <f t="shared" si="6"/>
        <v>54000000</v>
      </c>
      <c r="E31" s="255">
        <f t="shared" si="6"/>
        <v>54000000</v>
      </c>
      <c r="F31" s="255">
        <f t="shared" si="6"/>
        <v>54000000</v>
      </c>
      <c r="G31" s="255">
        <f>IF(G30&gt;0,VLOOKUP(G9,$B$47:$C$59,2,FALSE),0)</f>
        <v>54000000</v>
      </c>
      <c r="H31" s="255">
        <f t="shared" si="6"/>
        <v>54000000</v>
      </c>
      <c r="I31" s="255">
        <f t="shared" si="6"/>
        <v>54000000</v>
      </c>
      <c r="J31" s="255">
        <f t="shared" si="6"/>
        <v>54000000</v>
      </c>
      <c r="K31" s="255">
        <f t="shared" si="6"/>
        <v>54000000</v>
      </c>
      <c r="L31" s="255">
        <f t="shared" si="6"/>
        <v>54000000</v>
      </c>
      <c r="M31" s="255">
        <f t="shared" si="6"/>
        <v>54000000</v>
      </c>
      <c r="N31" s="255">
        <f t="shared" si="6"/>
        <v>54000000</v>
      </c>
      <c r="O31" s="255">
        <f t="shared" si="6"/>
        <v>54000000</v>
      </c>
      <c r="P31" s="103">
        <v>54000000</v>
      </c>
      <c r="Q31" s="103"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181800000</v>
      </c>
      <c r="D32" s="256">
        <f t="shared" ref="D32:O32" si="7">ROUNDDOWN(IF(D30&lt;=D31,0,IF(D30&gt;D31,D30-D31)),-3)</f>
        <v>186900000</v>
      </c>
      <c r="E32" s="256">
        <f t="shared" si="7"/>
        <v>184600000</v>
      </c>
      <c r="F32" s="256">
        <f t="shared" si="7"/>
        <v>189450000</v>
      </c>
      <c r="G32" s="256">
        <f t="shared" si="7"/>
        <v>187560000</v>
      </c>
      <c r="H32" s="256">
        <f t="shared" si="7"/>
        <v>188300000</v>
      </c>
      <c r="I32" s="256">
        <f>ROUNDDOWN(IF(I30&lt;=I31,0,IF(I30&gt;I31,I30-I31)),-3)</f>
        <v>188828000</v>
      </c>
      <c r="J32" s="256">
        <f t="shared" si="7"/>
        <v>189225000</v>
      </c>
      <c r="K32" s="256">
        <f t="shared" si="7"/>
        <v>189533000</v>
      </c>
      <c r="L32" s="256">
        <f t="shared" si="7"/>
        <v>189180000</v>
      </c>
      <c r="M32" s="256">
        <f t="shared" si="7"/>
        <v>189436000</v>
      </c>
      <c r="N32" s="256">
        <f t="shared" si="7"/>
        <v>188650000</v>
      </c>
      <c r="O32" s="256">
        <f t="shared" si="7"/>
        <v>193650000</v>
      </c>
      <c r="P32" s="101">
        <f t="shared" ref="P32:Q32" si="8">ROUNDDOWN(IF(P30&lt;=P31,0,IF(P30&gt;P31,P30-P31)),-3)</f>
        <v>209000000</v>
      </c>
      <c r="Q32" s="101">
        <f t="shared" si="8"/>
        <v>204000000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9">IF(C32&lt;0,0,IF(C32&lt;60000000,C32*5%,IF(C32&lt;250000000,(C32-60000000)*15%+3000000,IF(C32&lt;500000000,(C32-250000000)*25%+31500000,IF(C32&lt;5000000000,(C32-500000000)*30%+94000000,IF(C32&gt;5000000000,(C32-500000000)*35%+1444000000))))))</f>
        <v>21270000</v>
      </c>
      <c r="D33" s="257">
        <f t="shared" si="9"/>
        <v>22035000</v>
      </c>
      <c r="E33" s="257">
        <f t="shared" si="9"/>
        <v>21690000</v>
      </c>
      <c r="F33" s="257">
        <f t="shared" si="9"/>
        <v>22417500</v>
      </c>
      <c r="G33" s="257">
        <f t="shared" si="9"/>
        <v>22134000</v>
      </c>
      <c r="H33" s="257">
        <f t="shared" si="9"/>
        <v>22245000</v>
      </c>
      <c r="I33" s="257">
        <f t="shared" si="9"/>
        <v>22324200</v>
      </c>
      <c r="J33" s="257">
        <f t="shared" si="9"/>
        <v>22383750</v>
      </c>
      <c r="K33" s="257">
        <f t="shared" si="9"/>
        <v>22429950</v>
      </c>
      <c r="L33" s="257">
        <f t="shared" si="9"/>
        <v>22377000</v>
      </c>
      <c r="M33" s="257">
        <f t="shared" si="9"/>
        <v>22415400</v>
      </c>
      <c r="N33" s="257">
        <f t="shared" si="9"/>
        <v>22297500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23047500</v>
      </c>
      <c r="P33" s="255">
        <f t="shared" ref="P33:Q33" si="10">IF(P32&lt;0,0,IF(P32&lt;60000000,P32*5%,IF(P32&lt;250000000,(P32-60000000)*15%+3000000,IF(P32&lt;500000000,(P32-250000000)*25%+31500000,IF(P32&lt;5000000000,(P32-500000000)*30%+94000000,IF(P32&gt;5000000000,(P32-500000000)*35%+1444000000))))))</f>
        <v>25350000</v>
      </c>
      <c r="Q33" s="255">
        <f t="shared" si="10"/>
        <v>24600000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21270000</v>
      </c>
      <c r="D35" s="255">
        <f t="shared" ref="D35:M35" si="11">D33-D34</f>
        <v>22035000</v>
      </c>
      <c r="E35" s="255">
        <f t="shared" si="11"/>
        <v>21690000</v>
      </c>
      <c r="F35" s="255">
        <f t="shared" si="11"/>
        <v>22417500</v>
      </c>
      <c r="G35" s="255">
        <f t="shared" si="11"/>
        <v>22134000</v>
      </c>
      <c r="H35" s="255">
        <f t="shared" si="11"/>
        <v>22245000</v>
      </c>
      <c r="I35" s="255">
        <f t="shared" si="11"/>
        <v>22324200</v>
      </c>
      <c r="J35" s="255">
        <f t="shared" si="11"/>
        <v>22383750</v>
      </c>
      <c r="K35" s="255">
        <f t="shared" si="11"/>
        <v>22429950</v>
      </c>
      <c r="L35" s="255">
        <f t="shared" si="11"/>
        <v>22377000</v>
      </c>
      <c r="M35" s="255">
        <f t="shared" si="11"/>
        <v>22415400</v>
      </c>
      <c r="N35" s="255">
        <f>N33-N34</f>
        <v>22297500</v>
      </c>
      <c r="O35" s="255">
        <f>O33</f>
        <v>23047500</v>
      </c>
      <c r="P35" s="103">
        <f t="shared" ref="P35:Q35" si="12">P33-P34</f>
        <v>25350000</v>
      </c>
      <c r="Q35" s="103">
        <f t="shared" si="12"/>
        <v>24600000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</f>
        <v>1772500</v>
      </c>
      <c r="D36" s="264">
        <f>(D35/D10*D11-SUM(C36))</f>
        <v>1900000</v>
      </c>
      <c r="E36" s="264">
        <f>(E35/E10*E11-SUM(C36:D36))</f>
        <v>1750000</v>
      </c>
      <c r="F36" s="264">
        <f>(F35/F10*F11-SUM(C36:E36))</f>
        <v>2050000</v>
      </c>
      <c r="G36" s="264">
        <f>(G35/G10*G11-SUM(C36:F36))</f>
        <v>1750000</v>
      </c>
      <c r="H36" s="264">
        <f>(H35/H10*H11-SUM(C36:G36))</f>
        <v>1900000</v>
      </c>
      <c r="I36" s="264">
        <f>(I35/I10*I11-SUM(C36:H36))</f>
        <v>1899950</v>
      </c>
      <c r="J36" s="264">
        <f>(J35/J10*J11-SUM(C36:I36))</f>
        <v>1900050</v>
      </c>
      <c r="K36" s="264">
        <f>(K35/K10*K11-SUM(C36:J36))</f>
        <v>1899962.5</v>
      </c>
      <c r="L36" s="264">
        <f>(L35/L10*L11-SUM(C36:K36))</f>
        <v>1825037.5</v>
      </c>
      <c r="M36" s="264">
        <f>(M35/M10*M11-SUM(C36:L36))</f>
        <v>1899950</v>
      </c>
      <c r="N36" s="264">
        <f>(N35/N10*N11-SUM(C36:M36))</f>
        <v>1750050</v>
      </c>
      <c r="O36" s="259">
        <f>SUM(C36:N36)+P37</f>
        <v>23047500</v>
      </c>
      <c r="P36" s="108">
        <f>P35/12</f>
        <v>2112500</v>
      </c>
      <c r="Q36" s="108">
        <f>Q35/12</f>
        <v>2050000</v>
      </c>
    </row>
    <row r="37" spans="1:22" s="60" customFormat="1" ht="20.100000000000001" customHeight="1" x14ac:dyDescent="0.25">
      <c r="A37" s="57"/>
      <c r="B37" s="58" t="s">
        <v>81</v>
      </c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9" t="s">
        <v>82</v>
      </c>
      <c r="P37" s="110">
        <f>P35-Q35</f>
        <v>750000</v>
      </c>
      <c r="Q37" s="110"/>
    </row>
    <row r="38" spans="1:22" x14ac:dyDescent="0.25">
      <c r="A38" s="47"/>
      <c r="B38" s="31" t="s">
        <v>33</v>
      </c>
      <c r="C38" s="99"/>
      <c r="D38" s="99"/>
      <c r="E38" s="99"/>
      <c r="F38" s="99"/>
      <c r="G38" s="99"/>
      <c r="H38" s="99"/>
      <c r="I38" s="99"/>
      <c r="J38" s="99"/>
      <c r="K38" s="102"/>
      <c r="L38" s="102"/>
      <c r="M38" s="102"/>
      <c r="N38" s="111"/>
      <c r="O38" s="112"/>
      <c r="P38" s="132"/>
      <c r="Q38" s="110"/>
    </row>
    <row r="39" spans="1:22" ht="20.100000000000001" customHeight="1" x14ac:dyDescent="0.25">
      <c r="A39" s="47"/>
      <c r="B39" s="31" t="s">
        <v>75</v>
      </c>
      <c r="C39" s="99"/>
      <c r="D39" s="99"/>
      <c r="E39" s="99"/>
      <c r="F39" s="99"/>
      <c r="G39" s="99"/>
      <c r="H39" s="99"/>
      <c r="I39" s="99"/>
      <c r="J39" s="99"/>
      <c r="K39" s="102"/>
      <c r="L39" s="102"/>
      <c r="M39" s="102"/>
      <c r="N39" s="111"/>
      <c r="O39" s="112"/>
      <c r="P39" s="132">
        <f>P37+Q36-P38</f>
        <v>2800000</v>
      </c>
      <c r="Q39" s="110"/>
    </row>
    <row r="40" spans="1:22" ht="20.100000000000001" customHeight="1" x14ac:dyDescent="0.25">
      <c r="A40" s="47"/>
      <c r="B40" s="31" t="s">
        <v>76</v>
      </c>
      <c r="C40" s="99"/>
      <c r="D40" s="99"/>
      <c r="E40" s="99"/>
      <c r="F40" s="99"/>
      <c r="G40" s="99"/>
      <c r="H40" s="99"/>
      <c r="I40" s="99"/>
      <c r="J40" s="99"/>
      <c r="K40" s="102"/>
      <c r="L40" s="102"/>
      <c r="M40" s="102"/>
      <c r="N40" s="111"/>
      <c r="O40" s="112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113">
        <f t="shared" ref="C41:J41" si="13">C21-C25-C36</f>
        <v>18377500</v>
      </c>
      <c r="D41" s="113">
        <f t="shared" si="13"/>
        <v>19100000</v>
      </c>
      <c r="E41" s="113">
        <f t="shared" si="13"/>
        <v>18250000</v>
      </c>
      <c r="F41" s="113">
        <f t="shared" si="13"/>
        <v>19950000</v>
      </c>
      <c r="G41" s="113">
        <f t="shared" si="13"/>
        <v>18250000</v>
      </c>
      <c r="H41" s="113">
        <f t="shared" si="13"/>
        <v>19100000</v>
      </c>
      <c r="I41" s="113">
        <f t="shared" si="13"/>
        <v>19100050</v>
      </c>
      <c r="J41" s="113">
        <f t="shared" si="13"/>
        <v>19099950</v>
      </c>
      <c r="K41" s="113">
        <f>K21-K25-K36</f>
        <v>19100037.5</v>
      </c>
      <c r="L41" s="113">
        <f>L21-L25-L36</f>
        <v>18674962.5</v>
      </c>
      <c r="M41" s="113">
        <f>M21-M25-M36</f>
        <v>19100050</v>
      </c>
      <c r="N41" s="113">
        <f>N21-N25-N36</f>
        <v>18249950</v>
      </c>
      <c r="O41" s="113">
        <f>O21-O25-O36-O38</f>
        <v>230602500</v>
      </c>
      <c r="P41" s="126">
        <f>P21-P25-P36</f>
        <v>266887500</v>
      </c>
      <c r="Q41" s="126">
        <v>20818666.666666664</v>
      </c>
    </row>
    <row r="42" spans="1:22" x14ac:dyDescent="0.25">
      <c r="C42" s="18"/>
      <c r="D42" s="18"/>
      <c r="E42" s="18"/>
      <c r="F42" s="18"/>
      <c r="G42" s="18"/>
      <c r="H42" s="18"/>
      <c r="I42" s="18"/>
      <c r="J42" s="18"/>
      <c r="K42" s="18"/>
      <c r="O42" s="18"/>
      <c r="P42" s="114"/>
      <c r="Q42" s="114"/>
    </row>
    <row r="43" spans="1:22" x14ac:dyDescent="0.25">
      <c r="C43" s="18"/>
      <c r="D43" s="18"/>
      <c r="E43" s="18"/>
      <c r="F43" s="18"/>
      <c r="G43" s="18"/>
      <c r="H43" s="18"/>
      <c r="I43" s="18"/>
      <c r="J43" s="18"/>
      <c r="K43" s="18"/>
      <c r="O43" s="18"/>
      <c r="P43" s="114"/>
      <c r="Q43" s="114"/>
    </row>
    <row r="44" spans="1:22" x14ac:dyDescent="0.25">
      <c r="C44" s="18"/>
      <c r="D44" s="18"/>
      <c r="E44" s="18"/>
      <c r="F44" s="18"/>
      <c r="G44" s="18"/>
      <c r="H44" s="18"/>
      <c r="I44" s="18"/>
      <c r="J44" s="18"/>
      <c r="K44" s="18"/>
      <c r="O44" s="18"/>
      <c r="P44" s="114"/>
      <c r="Q44" s="114"/>
    </row>
    <row r="45" spans="1:22" x14ac:dyDescent="0.25">
      <c r="C45" s="18"/>
      <c r="D45" s="18"/>
      <c r="E45" s="18"/>
      <c r="F45" s="18"/>
      <c r="G45" s="18"/>
      <c r="H45" s="18"/>
      <c r="I45" s="18"/>
      <c r="J45" s="18"/>
      <c r="K45" s="18"/>
      <c r="O45" s="18"/>
      <c r="P45" s="114"/>
      <c r="Q45" s="114"/>
    </row>
    <row r="46" spans="1:22" x14ac:dyDescent="0.25">
      <c r="C46" s="18"/>
      <c r="D46" s="18"/>
      <c r="E46" s="18"/>
      <c r="F46" s="18"/>
      <c r="G46" s="18"/>
      <c r="H46" s="18"/>
      <c r="I46" s="18"/>
      <c r="J46" s="18"/>
      <c r="K46" s="18"/>
      <c r="O46" s="18"/>
      <c r="P46" s="114"/>
      <c r="Q46" s="114"/>
    </row>
    <row r="47" spans="1:22" s="62" customFormat="1" x14ac:dyDescent="0.25">
      <c r="B47" s="63" t="s">
        <v>65</v>
      </c>
      <c r="C47" s="115" t="s">
        <v>66</v>
      </c>
      <c r="D47" s="116"/>
      <c r="E47" s="116"/>
      <c r="F47" s="116"/>
      <c r="G47" s="116"/>
      <c r="H47" s="116"/>
      <c r="I47" s="116"/>
      <c r="J47" s="116"/>
      <c r="K47" s="116"/>
      <c r="L47" s="117"/>
      <c r="M47" s="117"/>
      <c r="N47" s="117"/>
      <c r="O47" s="116"/>
      <c r="P47" s="118"/>
      <c r="Q47" s="118"/>
    </row>
    <row r="48" spans="1:22" x14ac:dyDescent="0.25">
      <c r="B48" s="8" t="s">
        <v>67</v>
      </c>
      <c r="C48" s="127">
        <v>54000000</v>
      </c>
    </row>
    <row r="49" spans="2:17" x14ac:dyDescent="0.25">
      <c r="B49" s="8" t="s">
        <v>93</v>
      </c>
      <c r="C49" s="127">
        <v>58500000</v>
      </c>
    </row>
    <row r="50" spans="2:17" x14ac:dyDescent="0.25">
      <c r="B50" s="8" t="s">
        <v>94</v>
      </c>
      <c r="C50" s="127">
        <v>63000000</v>
      </c>
    </row>
    <row r="51" spans="2:17" x14ac:dyDescent="0.25">
      <c r="B51" s="8" t="s">
        <v>95</v>
      </c>
      <c r="C51" s="127">
        <v>67500000</v>
      </c>
    </row>
    <row r="52" spans="2:17" x14ac:dyDescent="0.25">
      <c r="B52" s="8" t="s">
        <v>68</v>
      </c>
      <c r="C52" s="127">
        <v>58500000</v>
      </c>
    </row>
    <row r="53" spans="2:17" x14ac:dyDescent="0.25">
      <c r="B53" s="8" t="s">
        <v>69</v>
      </c>
      <c r="C53" s="127">
        <v>63000000</v>
      </c>
    </row>
    <row r="54" spans="2:17" x14ac:dyDescent="0.25">
      <c r="B54" s="8" t="s">
        <v>50</v>
      </c>
      <c r="C54" s="127">
        <v>67500000</v>
      </c>
    </row>
    <row r="55" spans="2:17" x14ac:dyDescent="0.25">
      <c r="B55" s="8" t="s">
        <v>64</v>
      </c>
      <c r="C55" s="127">
        <v>72000000</v>
      </c>
    </row>
    <row r="56" spans="2:17" x14ac:dyDescent="0.25">
      <c r="B56" s="8" t="s">
        <v>96</v>
      </c>
      <c r="C56" s="127">
        <v>112500000</v>
      </c>
    </row>
    <row r="57" spans="2:17" x14ac:dyDescent="0.25">
      <c r="B57" s="8" t="s">
        <v>97</v>
      </c>
      <c r="C57" s="127">
        <v>117000000</v>
      </c>
    </row>
    <row r="58" spans="2:17" x14ac:dyDescent="0.25">
      <c r="B58" s="8" t="s">
        <v>98</v>
      </c>
      <c r="C58" s="127">
        <v>121500000</v>
      </c>
    </row>
    <row r="59" spans="2:17" x14ac:dyDescent="0.25">
      <c r="B59" s="8" t="s">
        <v>99</v>
      </c>
      <c r="C59" s="127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D14:N18 P13:Q13 C13:N13" xr:uid="{00000000-0002-0000-0500-000000000000}"/>
  </dataValidations>
  <pageMargins left="0.7" right="0.7" top="0.75" bottom="0.75" header="0.3" footer="0.3"/>
  <pageSetup paperSize="9" orientation="portrait" horizontalDpi="360" verticalDpi="36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36"/>
  <dimension ref="A1:V51"/>
  <sheetViews>
    <sheetView topLeftCell="A8" workbookViewId="0">
      <pane xSplit="2" ySplit="1" topLeftCell="C9" activePane="bottomRight" state="frozen"/>
      <selection activeCell="J32" sqref="J32"/>
      <selection pane="topRight" activeCell="J32" sqref="J32"/>
      <selection pane="bottomLeft" activeCell="J32" sqref="J32"/>
      <selection pane="bottomRight" activeCell="G33" sqref="G3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>
        <f>SUM(C9:N9)</f>
        <v>0</v>
      </c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>
        <f>SUM(C11:N11)</f>
        <v>0</v>
      </c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0</v>
      </c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>
        <f>SUM(O9:O14)</f>
        <v>0</v>
      </c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 t="shared" si="2"/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 t="shared" ref="D19:N19" si="3">IF(D17*5%&lt;500000,D17*5%,500000)</f>
        <v>0</v>
      </c>
      <c r="E19" s="37">
        <f t="shared" si="3"/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 t="shared" ref="C24:N24" si="5">C17-C22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54000000</v>
      </c>
      <c r="D27" s="53">
        <f>C27</f>
        <v>54000000</v>
      </c>
      <c r="E27" s="53">
        <f t="shared" ref="E27:M27" si="6">D27</f>
        <v>54000000</v>
      </c>
      <c r="F27" s="53">
        <f t="shared" si="6"/>
        <v>54000000</v>
      </c>
      <c r="G27" s="53">
        <f t="shared" si="6"/>
        <v>54000000</v>
      </c>
      <c r="H27" s="53">
        <f>G27</f>
        <v>54000000</v>
      </c>
      <c r="I27" s="53">
        <f t="shared" si="6"/>
        <v>54000000</v>
      </c>
      <c r="J27" s="53">
        <f t="shared" si="6"/>
        <v>54000000</v>
      </c>
      <c r="K27" s="53">
        <f t="shared" si="6"/>
        <v>54000000</v>
      </c>
      <c r="L27" s="53">
        <f t="shared" si="6"/>
        <v>54000000</v>
      </c>
      <c r="M27" s="53">
        <f t="shared" si="6"/>
        <v>54000000</v>
      </c>
      <c r="N27" s="53">
        <f>M27</f>
        <v>54000000</v>
      </c>
      <c r="O27" s="53">
        <f>N27</f>
        <v>54000000</v>
      </c>
      <c r="P27" s="103">
        <f>O27</f>
        <v>54000000</v>
      </c>
      <c r="Q27" s="103">
        <f>P27</f>
        <v>54000000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f>P31/12</f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9:Q14 D10:N14 C9:N9" xr:uid="{00000000-0002-0000-3B00-000000000000}"/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30"/>
  <dimension ref="A1:V59"/>
  <sheetViews>
    <sheetView topLeftCell="C1" zoomScale="53" workbookViewId="0">
      <selection activeCell="P29" sqref="P29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433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4000000</v>
      </c>
      <c r="D13" s="92">
        <v>4000000</v>
      </c>
      <c r="E13" s="162">
        <v>4000000</v>
      </c>
      <c r="F13" s="92">
        <v>4000000</v>
      </c>
      <c r="G13" s="92">
        <v>4000000</v>
      </c>
      <c r="H13" s="92">
        <v>4000000</v>
      </c>
      <c r="I13" s="92">
        <v>4000000</v>
      </c>
      <c r="J13" s="92">
        <v>4000000</v>
      </c>
      <c r="K13" s="92">
        <v>4000000</v>
      </c>
      <c r="L13" s="92">
        <v>4000000</v>
      </c>
      <c r="M13" s="92">
        <v>4000000</v>
      </c>
      <c r="N13" s="92">
        <v>0</v>
      </c>
      <c r="O13" s="32">
        <f>SUM(C13:N13)</f>
        <v>44000000</v>
      </c>
      <c r="P13" s="123">
        <f t="shared" ref="P13:P18" si="1">Q13</f>
        <v>48000000</v>
      </c>
      <c r="Q13" s="123">
        <f>F13*12</f>
        <v>48000000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>
        <v>1680000</v>
      </c>
      <c r="K16" s="92"/>
      <c r="L16" s="92"/>
      <c r="M16" s="92"/>
      <c r="N16" s="92"/>
      <c r="O16" s="32">
        <f>SUM(C16:N16)</f>
        <v>1680000</v>
      </c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4000000</v>
      </c>
      <c r="D19" s="37">
        <f t="shared" si="3"/>
        <v>4000000</v>
      </c>
      <c r="E19" s="37">
        <f t="shared" si="3"/>
        <v>4000000</v>
      </c>
      <c r="F19" s="37">
        <f t="shared" si="3"/>
        <v>4000000</v>
      </c>
      <c r="G19" s="37">
        <f t="shared" si="3"/>
        <v>4000000</v>
      </c>
      <c r="H19" s="37">
        <f t="shared" si="3"/>
        <v>4000000</v>
      </c>
      <c r="I19" s="37">
        <f t="shared" si="3"/>
        <v>4000000</v>
      </c>
      <c r="J19" s="37">
        <f t="shared" si="3"/>
        <v>5680000</v>
      </c>
      <c r="K19" s="37">
        <f t="shared" si="3"/>
        <v>4000000</v>
      </c>
      <c r="L19" s="37">
        <f t="shared" si="3"/>
        <v>4000000</v>
      </c>
      <c r="M19" s="37">
        <f t="shared" si="3"/>
        <v>4000000</v>
      </c>
      <c r="N19" s="37">
        <f t="shared" si="3"/>
        <v>0</v>
      </c>
      <c r="O19" s="38">
        <f>SUM(O13:O18)</f>
        <v>45680000</v>
      </c>
      <c r="P19" s="103">
        <f>SUM(P13:P18)</f>
        <v>48000000</v>
      </c>
      <c r="Q19" s="103">
        <f>SUM(Q13:Q18)</f>
        <v>48000000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2000000</v>
      </c>
      <c r="P20" s="110">
        <v>2000000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4000000</v>
      </c>
      <c r="D21" s="259">
        <f t="shared" ref="D21:N21" si="4">D19+D20</f>
        <v>4000000</v>
      </c>
      <c r="E21" s="259">
        <f t="shared" si="4"/>
        <v>4000000</v>
      </c>
      <c r="F21" s="259">
        <f t="shared" si="4"/>
        <v>4000000</v>
      </c>
      <c r="G21" s="259">
        <f>G19+G20</f>
        <v>4000000</v>
      </c>
      <c r="H21" s="259">
        <f t="shared" si="4"/>
        <v>4000000</v>
      </c>
      <c r="I21" s="259">
        <f t="shared" si="4"/>
        <v>4000000</v>
      </c>
      <c r="J21" s="259">
        <f t="shared" si="4"/>
        <v>5680000</v>
      </c>
      <c r="K21" s="259">
        <f t="shared" si="4"/>
        <v>4000000</v>
      </c>
      <c r="L21" s="259">
        <f t="shared" si="4"/>
        <v>4000000</v>
      </c>
      <c r="M21" s="259">
        <f t="shared" si="4"/>
        <v>4000000</v>
      </c>
      <c r="N21" s="259">
        <f t="shared" si="4"/>
        <v>0</v>
      </c>
      <c r="O21" s="259">
        <f>O19+O20</f>
        <v>47680000</v>
      </c>
      <c r="P21" s="103">
        <f>P19+P20</f>
        <v>50000000</v>
      </c>
      <c r="Q21" s="103">
        <f>Q19+Q20</f>
        <v>48000000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200000</v>
      </c>
      <c r="D23" s="257">
        <f t="shared" ref="D23:O23" si="5">IF(D21*5%&lt;500000,D21*5%,500000)</f>
        <v>200000</v>
      </c>
      <c r="E23" s="257">
        <f t="shared" si="5"/>
        <v>200000</v>
      </c>
      <c r="F23" s="257">
        <f t="shared" si="5"/>
        <v>200000</v>
      </c>
      <c r="G23" s="257">
        <f>IF(G21*5%&lt;500000,G21*5%,500000)</f>
        <v>200000</v>
      </c>
      <c r="H23" s="257">
        <f t="shared" si="5"/>
        <v>200000</v>
      </c>
      <c r="I23" s="257">
        <f t="shared" si="5"/>
        <v>200000</v>
      </c>
      <c r="J23" s="257">
        <f t="shared" si="5"/>
        <v>284000</v>
      </c>
      <c r="K23" s="257">
        <f t="shared" si="5"/>
        <v>200000</v>
      </c>
      <c r="L23" s="257">
        <f t="shared" si="5"/>
        <v>200000</v>
      </c>
      <c r="M23" s="257">
        <f t="shared" si="5"/>
        <v>200000</v>
      </c>
      <c r="N23" s="257">
        <f t="shared" si="5"/>
        <v>0</v>
      </c>
      <c r="O23" s="257">
        <f>IF(O21*5%&lt;60000000,O21*5%,60000000)</f>
        <v>2384000</v>
      </c>
      <c r="P23" s="110">
        <f>IF(P21*5%&lt;6000000,P21*5%,6000000)</f>
        <v>2500000</v>
      </c>
      <c r="Q23" s="110">
        <f>IF(Q21*5%&lt;6000000,Q21*5%,6000000)</f>
        <v>2400000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200000</v>
      </c>
      <c r="D26" s="257">
        <f t="shared" si="6"/>
        <v>200000</v>
      </c>
      <c r="E26" s="257">
        <f t="shared" si="6"/>
        <v>200000</v>
      </c>
      <c r="F26" s="257">
        <f t="shared" si="6"/>
        <v>200000</v>
      </c>
      <c r="G26" s="257">
        <f>SUM(G23:G25)</f>
        <v>200000</v>
      </c>
      <c r="H26" s="257">
        <f t="shared" si="6"/>
        <v>200000</v>
      </c>
      <c r="I26" s="257">
        <f t="shared" si="6"/>
        <v>200000</v>
      </c>
      <c r="J26" s="257">
        <f t="shared" si="6"/>
        <v>284000</v>
      </c>
      <c r="K26" s="257">
        <f t="shared" si="6"/>
        <v>200000</v>
      </c>
      <c r="L26" s="257">
        <f t="shared" si="6"/>
        <v>200000</v>
      </c>
      <c r="M26" s="257">
        <f t="shared" si="6"/>
        <v>200000</v>
      </c>
      <c r="N26" s="257">
        <f t="shared" si="6"/>
        <v>0</v>
      </c>
      <c r="O26" s="263">
        <f>SUM(O22:O25)</f>
        <v>2384000</v>
      </c>
      <c r="P26" s="103">
        <f>SUM(P23:P25)</f>
        <v>2500000</v>
      </c>
      <c r="Q26" s="103">
        <f>SUM(Q23:Q25)</f>
        <v>2400000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3800000</v>
      </c>
      <c r="D28" s="255">
        <f t="shared" ref="D28:O28" si="7">D21-D26</f>
        <v>3800000</v>
      </c>
      <c r="E28" s="255">
        <f t="shared" si="7"/>
        <v>3800000</v>
      </c>
      <c r="F28" s="255">
        <f t="shared" si="7"/>
        <v>3800000</v>
      </c>
      <c r="G28" s="255">
        <f>G21-G26</f>
        <v>3800000</v>
      </c>
      <c r="H28" s="255">
        <f t="shared" si="7"/>
        <v>3800000</v>
      </c>
      <c r="I28" s="255">
        <f t="shared" si="7"/>
        <v>3800000</v>
      </c>
      <c r="J28" s="255">
        <f t="shared" si="7"/>
        <v>5396000</v>
      </c>
      <c r="K28" s="255">
        <f t="shared" si="7"/>
        <v>3800000</v>
      </c>
      <c r="L28" s="255">
        <f t="shared" si="7"/>
        <v>3800000</v>
      </c>
      <c r="M28" s="255">
        <f t="shared" si="7"/>
        <v>3800000</v>
      </c>
      <c r="N28" s="255">
        <f t="shared" si="7"/>
        <v>0</v>
      </c>
      <c r="O28" s="255">
        <f t="shared" si="7"/>
        <v>45296000</v>
      </c>
      <c r="P28" s="103">
        <f>P21-P26</f>
        <v>47500000</v>
      </c>
      <c r="Q28" s="103">
        <f>Q21-Q26</f>
        <v>45600000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45600000</v>
      </c>
      <c r="D30" s="253">
        <f>SUM(C28:D28)*D10/D11</f>
        <v>45600000</v>
      </c>
      <c r="E30" s="253">
        <f>SUM(C28:E28)*E10/E11</f>
        <v>45600000</v>
      </c>
      <c r="F30" s="253">
        <f>SUM(C28:F28)*F10/F11</f>
        <v>45600000</v>
      </c>
      <c r="G30" s="253">
        <f>SUM(C28:G28)*G10/G11</f>
        <v>45600000</v>
      </c>
      <c r="H30" s="253">
        <f>SUM(C28:H28)*H10/H11</f>
        <v>45600000</v>
      </c>
      <c r="I30" s="253">
        <f>SUM(C28:I28)*I10/I11</f>
        <v>45600000</v>
      </c>
      <c r="J30" s="253">
        <f>SUM(C28:J28)*J10/J11</f>
        <v>47994000</v>
      </c>
      <c r="K30" s="253">
        <f>SUM(C28:K28)*K10/K11</f>
        <v>47728000</v>
      </c>
      <c r="L30" s="253">
        <f>SUM(C28:L28)*L10/L11</f>
        <v>47515200</v>
      </c>
      <c r="M30" s="253">
        <f>SUM(C28:M28)*M10/M11</f>
        <v>47341090.909090906</v>
      </c>
      <c r="N30" s="253">
        <f>SUM(C28:N28)*N10/N11</f>
        <v>43396000</v>
      </c>
      <c r="O30" s="254">
        <f>O28</f>
        <v>45296000</v>
      </c>
      <c r="P30" s="108">
        <f>P28</f>
        <v>47500000</v>
      </c>
      <c r="Q30" s="108">
        <f>Q28</f>
        <v>45600000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54000000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4000000</v>
      </c>
      <c r="D41" s="50">
        <f t="shared" si="14"/>
        <v>4000000</v>
      </c>
      <c r="E41" s="50">
        <f t="shared" si="14"/>
        <v>4000000</v>
      </c>
      <c r="F41" s="50">
        <f t="shared" si="14"/>
        <v>4000000</v>
      </c>
      <c r="G41" s="50">
        <f t="shared" si="14"/>
        <v>4000000</v>
      </c>
      <c r="H41" s="50">
        <f t="shared" si="14"/>
        <v>4000000</v>
      </c>
      <c r="I41" s="50">
        <f t="shared" si="14"/>
        <v>4000000</v>
      </c>
      <c r="J41" s="50">
        <f t="shared" si="14"/>
        <v>5680000</v>
      </c>
      <c r="K41" s="50">
        <f>K21-K25-K36</f>
        <v>4000000</v>
      </c>
      <c r="L41" s="50">
        <f>L21-L25-L36</f>
        <v>4000000</v>
      </c>
      <c r="M41" s="50">
        <f>M21-M25-M36</f>
        <v>4000000</v>
      </c>
      <c r="N41" s="50">
        <f>N21-N25-N36</f>
        <v>0</v>
      </c>
      <c r="O41" s="50">
        <f>O21-O25-O36-O38</f>
        <v>47680000</v>
      </c>
      <c r="P41" s="126">
        <f>P21-P25-P36</f>
        <v>50000000</v>
      </c>
      <c r="Q41" s="126">
        <f>Q21-Q25-Q36</f>
        <v>48000000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3C00-000000000000}"/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39"/>
  <dimension ref="A1:V51"/>
  <sheetViews>
    <sheetView topLeftCell="A8" workbookViewId="0">
      <pane xSplit="2" ySplit="1" topLeftCell="C9" activePane="bottomRight" state="frozen"/>
      <selection activeCell="J32" sqref="J32"/>
      <selection pane="topRight" activeCell="J32" sqref="J32"/>
      <selection pane="bottomLeft" activeCell="J32" sqref="J32"/>
      <selection pane="bottomRight" activeCell="G33" sqref="G3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>
        <f>SUM(C9:N9)</f>
        <v>0</v>
      </c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>
        <f>SUM(C11:N11)</f>
        <v>0</v>
      </c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0</v>
      </c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>
        <f>SUM(O9:O14)</f>
        <v>0</v>
      </c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 t="shared" si="2"/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 t="shared" ref="D19:N19" si="3">IF(D17*5%&lt;500000,D17*5%,500000)</f>
        <v>0</v>
      </c>
      <c r="E19" s="37">
        <f t="shared" si="3"/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 t="shared" ref="C24:N24" si="5">C17-C22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72000000</v>
      </c>
      <c r="D27" s="53">
        <f>C27</f>
        <v>72000000</v>
      </c>
      <c r="E27" s="53">
        <f t="shared" ref="E27:M27" si="6">D27</f>
        <v>72000000</v>
      </c>
      <c r="F27" s="53">
        <f t="shared" si="6"/>
        <v>72000000</v>
      </c>
      <c r="G27" s="53">
        <f t="shared" si="6"/>
        <v>72000000</v>
      </c>
      <c r="H27" s="53">
        <f>G27</f>
        <v>72000000</v>
      </c>
      <c r="I27" s="53">
        <f t="shared" si="6"/>
        <v>72000000</v>
      </c>
      <c r="J27" s="53">
        <f t="shared" si="6"/>
        <v>72000000</v>
      </c>
      <c r="K27" s="53">
        <f t="shared" si="6"/>
        <v>72000000</v>
      </c>
      <c r="L27" s="53">
        <f t="shared" si="6"/>
        <v>72000000</v>
      </c>
      <c r="M27" s="53">
        <f t="shared" si="6"/>
        <v>72000000</v>
      </c>
      <c r="N27" s="53">
        <f>M27</f>
        <v>72000000</v>
      </c>
      <c r="O27" s="53">
        <f>N27</f>
        <v>72000000</v>
      </c>
      <c r="P27" s="103">
        <f>O27</f>
        <v>72000000</v>
      </c>
      <c r="Q27" s="103">
        <f>P27</f>
        <v>72000000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f>P31/12</f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9:N9 D10:N14 P9:Q14" xr:uid="{00000000-0002-0000-3D00-000000000000}"/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15"/>
  <dimension ref="A1:V59"/>
  <sheetViews>
    <sheetView topLeftCell="D1" zoomScale="64" workbookViewId="0">
      <selection activeCell="N29" sqref="N29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419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2750000</v>
      </c>
      <c r="D13" s="92">
        <v>2750000</v>
      </c>
      <c r="E13" s="162">
        <v>2750000</v>
      </c>
      <c r="F13" s="92">
        <v>2750000</v>
      </c>
      <c r="G13" s="92">
        <v>2750000</v>
      </c>
      <c r="H13" s="92">
        <v>2850000</v>
      </c>
      <c r="I13" s="92">
        <v>2850000</v>
      </c>
      <c r="J13" s="92">
        <v>2750000</v>
      </c>
      <c r="K13" s="92">
        <v>2850000</v>
      </c>
      <c r="L13" s="92">
        <v>2850000</v>
      </c>
      <c r="M13" s="92">
        <v>2750000</v>
      </c>
      <c r="N13" s="92">
        <v>2800000</v>
      </c>
      <c r="O13" s="32">
        <f>SUM(C13:N13)</f>
        <v>33450000</v>
      </c>
      <c r="P13" s="123">
        <f t="shared" ref="P13:P18" si="1">Q13</f>
        <v>33000000</v>
      </c>
      <c r="Q13" s="123">
        <f>F13*12</f>
        <v>33000000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2750000</v>
      </c>
      <c r="D19" s="37">
        <f>SUM(D13:D18)</f>
        <v>2750000</v>
      </c>
      <c r="E19" s="37">
        <f>SUM(E13:E18)</f>
        <v>2750000</v>
      </c>
      <c r="F19" s="37">
        <f>SUM(F13:F18)</f>
        <v>2750000</v>
      </c>
      <c r="G19" s="37">
        <f t="shared" ref="G19:N19" si="3">SUM(G13:G18)</f>
        <v>2750000</v>
      </c>
      <c r="H19" s="37">
        <f t="shared" si="3"/>
        <v>2850000</v>
      </c>
      <c r="I19" s="37">
        <f t="shared" si="3"/>
        <v>2850000</v>
      </c>
      <c r="J19" s="37">
        <f t="shared" si="3"/>
        <v>2750000</v>
      </c>
      <c r="K19" s="37">
        <f t="shared" si="3"/>
        <v>2850000</v>
      </c>
      <c r="L19" s="37">
        <f t="shared" si="3"/>
        <v>2850000</v>
      </c>
      <c r="M19" s="37">
        <f t="shared" si="3"/>
        <v>2750000</v>
      </c>
      <c r="N19" s="37">
        <f t="shared" si="3"/>
        <v>2800000</v>
      </c>
      <c r="O19" s="38">
        <f>SUM(O13:O18)</f>
        <v>33450000</v>
      </c>
      <c r="P19" s="103">
        <f>SUM(P13:P18)</f>
        <v>33000000</v>
      </c>
      <c r="Q19" s="103">
        <f>SUM(Q13:Q18)</f>
        <v>33000000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2000000</v>
      </c>
      <c r="P20" s="110">
        <v>2000000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2750000</v>
      </c>
      <c r="D21" s="259">
        <f t="shared" ref="D21:N21" si="4">D19+D20</f>
        <v>2750000</v>
      </c>
      <c r="E21" s="259">
        <f t="shared" si="4"/>
        <v>2750000</v>
      </c>
      <c r="F21" s="259">
        <f t="shared" si="4"/>
        <v>2750000</v>
      </c>
      <c r="G21" s="259">
        <f>G19+G20</f>
        <v>2750000</v>
      </c>
      <c r="H21" s="259">
        <f t="shared" si="4"/>
        <v>2850000</v>
      </c>
      <c r="I21" s="259">
        <f t="shared" si="4"/>
        <v>2850000</v>
      </c>
      <c r="J21" s="259">
        <f t="shared" si="4"/>
        <v>2750000</v>
      </c>
      <c r="K21" s="259">
        <f t="shared" si="4"/>
        <v>2850000</v>
      </c>
      <c r="L21" s="259">
        <f t="shared" si="4"/>
        <v>2850000</v>
      </c>
      <c r="M21" s="259">
        <f t="shared" si="4"/>
        <v>2750000</v>
      </c>
      <c r="N21" s="259">
        <f t="shared" si="4"/>
        <v>2800000</v>
      </c>
      <c r="O21" s="259">
        <f>O19+O20</f>
        <v>35450000</v>
      </c>
      <c r="P21" s="103">
        <f>P19+P20</f>
        <v>35000000</v>
      </c>
      <c r="Q21" s="103">
        <f>Q19+Q20</f>
        <v>33000000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137500</v>
      </c>
      <c r="D23" s="257">
        <f t="shared" ref="D23:O23" si="5">IF(D21*5%&lt;500000,D21*5%,500000)</f>
        <v>137500</v>
      </c>
      <c r="E23" s="257">
        <f t="shared" si="5"/>
        <v>137500</v>
      </c>
      <c r="F23" s="257">
        <f t="shared" si="5"/>
        <v>137500</v>
      </c>
      <c r="G23" s="257">
        <f>IF(G21*5%&lt;500000,G21*5%,500000)</f>
        <v>137500</v>
      </c>
      <c r="H23" s="257">
        <f t="shared" si="5"/>
        <v>142500</v>
      </c>
      <c r="I23" s="257">
        <f t="shared" si="5"/>
        <v>142500</v>
      </c>
      <c r="J23" s="257">
        <f t="shared" si="5"/>
        <v>137500</v>
      </c>
      <c r="K23" s="257">
        <f t="shared" si="5"/>
        <v>142500</v>
      </c>
      <c r="L23" s="257">
        <f t="shared" si="5"/>
        <v>142500</v>
      </c>
      <c r="M23" s="257">
        <f t="shared" si="5"/>
        <v>137500</v>
      </c>
      <c r="N23" s="257">
        <f t="shared" si="5"/>
        <v>140000</v>
      </c>
      <c r="O23" s="257">
        <f>IF(O21*5%&lt;6000000,O21*5%,6000000)</f>
        <v>1772500</v>
      </c>
      <c r="P23" s="110">
        <f>IF(P21*5%&lt;6000000,P21*5%,6000000)</f>
        <v>1750000</v>
      </c>
      <c r="Q23" s="110">
        <f>IF(Q21*5%&lt;6000000,Q21*5%,6000000)</f>
        <v>1650000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137500</v>
      </c>
      <c r="D26" s="257">
        <f t="shared" si="6"/>
        <v>137500</v>
      </c>
      <c r="E26" s="257">
        <f t="shared" si="6"/>
        <v>137500</v>
      </c>
      <c r="F26" s="257">
        <f t="shared" si="6"/>
        <v>137500</v>
      </c>
      <c r="G26" s="257">
        <f>SUM(G23:G25)</f>
        <v>137500</v>
      </c>
      <c r="H26" s="257">
        <f t="shared" si="6"/>
        <v>142500</v>
      </c>
      <c r="I26" s="257">
        <f t="shared" si="6"/>
        <v>142500</v>
      </c>
      <c r="J26" s="257">
        <f t="shared" si="6"/>
        <v>137500</v>
      </c>
      <c r="K26" s="257">
        <f t="shared" si="6"/>
        <v>142500</v>
      </c>
      <c r="L26" s="257">
        <f t="shared" si="6"/>
        <v>142500</v>
      </c>
      <c r="M26" s="257">
        <f t="shared" si="6"/>
        <v>137500</v>
      </c>
      <c r="N26" s="257">
        <f t="shared" si="6"/>
        <v>140000</v>
      </c>
      <c r="O26" s="263">
        <f>SUM(O22:O25)</f>
        <v>1772500</v>
      </c>
      <c r="P26" s="103">
        <f>SUM(P23:P25)</f>
        <v>1750000</v>
      </c>
      <c r="Q26" s="103">
        <f>SUM(Q23:Q25)</f>
        <v>1650000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2612500</v>
      </c>
      <c r="D28" s="255">
        <f t="shared" ref="D28:O28" si="7">D21-D26</f>
        <v>2612500</v>
      </c>
      <c r="E28" s="255">
        <f t="shared" si="7"/>
        <v>2612500</v>
      </c>
      <c r="F28" s="255">
        <f t="shared" si="7"/>
        <v>2612500</v>
      </c>
      <c r="G28" s="255">
        <f>G21-G26</f>
        <v>2612500</v>
      </c>
      <c r="H28" s="255">
        <f t="shared" si="7"/>
        <v>2707500</v>
      </c>
      <c r="I28" s="255">
        <f t="shared" si="7"/>
        <v>2707500</v>
      </c>
      <c r="J28" s="255">
        <f t="shared" si="7"/>
        <v>2612500</v>
      </c>
      <c r="K28" s="255">
        <f t="shared" si="7"/>
        <v>2707500</v>
      </c>
      <c r="L28" s="255">
        <f t="shared" si="7"/>
        <v>2707500</v>
      </c>
      <c r="M28" s="255">
        <f t="shared" si="7"/>
        <v>2612500</v>
      </c>
      <c r="N28" s="255">
        <f t="shared" si="7"/>
        <v>2660000</v>
      </c>
      <c r="O28" s="255">
        <f t="shared" si="7"/>
        <v>33677500</v>
      </c>
      <c r="P28" s="103">
        <f>P21-P26</f>
        <v>33250000</v>
      </c>
      <c r="Q28" s="103">
        <f>Q21-Q26</f>
        <v>31350000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31350000</v>
      </c>
      <c r="D30" s="253">
        <f>SUM(C28:D28)*D10/D11</f>
        <v>31350000</v>
      </c>
      <c r="E30" s="253">
        <f>SUM(C28:E28)*E10/E11</f>
        <v>31350000</v>
      </c>
      <c r="F30" s="253">
        <f>SUM(C28:F28)*F10/F11</f>
        <v>31350000</v>
      </c>
      <c r="G30" s="253">
        <f>SUM(C28:G28)*G10/G11</f>
        <v>31350000</v>
      </c>
      <c r="H30" s="253">
        <f>SUM(C28:H28)*H10/H11</f>
        <v>31540000</v>
      </c>
      <c r="I30" s="253">
        <f>SUM(C28:I28)*I10/I11</f>
        <v>31675714.285714287</v>
      </c>
      <c r="J30" s="253">
        <f>SUM(C28:J28)*J10/J11</f>
        <v>31635000</v>
      </c>
      <c r="K30" s="253">
        <f>SUM(C28:K28)*K10/K11</f>
        <v>31730000</v>
      </c>
      <c r="L30" s="253">
        <f>SUM(C28:L28)*L10/L11</f>
        <v>31806000</v>
      </c>
      <c r="M30" s="253">
        <f>SUM(C28:M28)*M10/M11</f>
        <v>31764545.454545453</v>
      </c>
      <c r="N30" s="253">
        <f>SUM(C28:N28)*N10/N11</f>
        <v>31777500</v>
      </c>
      <c r="O30" s="254">
        <f>O28</f>
        <v>33677500</v>
      </c>
      <c r="P30" s="108">
        <f>P28</f>
        <v>33250000</v>
      </c>
      <c r="Q30" s="108">
        <f>Q28</f>
        <v>31350000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2750000</v>
      </c>
      <c r="D41" s="50">
        <f t="shared" si="14"/>
        <v>2750000</v>
      </c>
      <c r="E41" s="50">
        <f t="shared" si="14"/>
        <v>2750000</v>
      </c>
      <c r="F41" s="50">
        <f t="shared" si="14"/>
        <v>2750000</v>
      </c>
      <c r="G41" s="50">
        <f t="shared" si="14"/>
        <v>2750000</v>
      </c>
      <c r="H41" s="50">
        <f t="shared" si="14"/>
        <v>2850000</v>
      </c>
      <c r="I41" s="50">
        <f t="shared" si="14"/>
        <v>2850000</v>
      </c>
      <c r="J41" s="50">
        <f t="shared" si="14"/>
        <v>2750000</v>
      </c>
      <c r="K41" s="50">
        <f>K21-K25-K36</f>
        <v>2850000</v>
      </c>
      <c r="L41" s="50">
        <f>L21-L25-L36</f>
        <v>2850000</v>
      </c>
      <c r="M41" s="50">
        <f>M21-M25-M36</f>
        <v>2750000</v>
      </c>
      <c r="N41" s="50">
        <f>N21-N25-N36</f>
        <v>2800000</v>
      </c>
      <c r="O41" s="50">
        <f>O21-O25-O36-O38</f>
        <v>35450000</v>
      </c>
      <c r="P41" s="126">
        <f>P21-P25-P36</f>
        <v>35000000</v>
      </c>
      <c r="Q41" s="126">
        <f>Q21-Q25-Q36</f>
        <v>33000000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3E00-000000000000}"/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6"/>
  <dimension ref="A1:V51"/>
  <sheetViews>
    <sheetView topLeftCell="A8" workbookViewId="0">
      <pane xSplit="2" ySplit="1" topLeftCell="C9" activePane="bottomRight" state="frozen"/>
      <selection activeCell="J32" sqref="J32"/>
      <selection pane="topRight" activeCell="J32" sqref="J32"/>
      <selection pane="bottomLeft" activeCell="J32" sqref="J32"/>
      <selection pane="bottomRight" activeCell="F16" sqref="F16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551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>
        <f>SUM(C9:N9)</f>
        <v>0</v>
      </c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>
        <f>SUM(C11:N11)</f>
        <v>0</v>
      </c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0</v>
      </c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>
        <f>SUM(O9:O14)</f>
        <v>0</v>
      </c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 t="shared" si="2"/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 t="shared" ref="D19:N19" si="3">IF(D17*5%&lt;500000,D17*5%,500000)</f>
        <v>0</v>
      </c>
      <c r="E19" s="37">
        <f t="shared" si="3"/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 t="shared" ref="C24:N24" si="5">C17-C22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72000000</v>
      </c>
      <c r="D27" s="53">
        <f>C27</f>
        <v>72000000</v>
      </c>
      <c r="E27" s="53">
        <f t="shared" ref="E27:M27" si="6">D27</f>
        <v>72000000</v>
      </c>
      <c r="F27" s="53">
        <f t="shared" si="6"/>
        <v>72000000</v>
      </c>
      <c r="G27" s="53">
        <f t="shared" si="6"/>
        <v>72000000</v>
      </c>
      <c r="H27" s="53">
        <f>G27</f>
        <v>72000000</v>
      </c>
      <c r="I27" s="53">
        <f t="shared" si="6"/>
        <v>72000000</v>
      </c>
      <c r="J27" s="53">
        <f t="shared" si="6"/>
        <v>72000000</v>
      </c>
      <c r="K27" s="53">
        <f t="shared" si="6"/>
        <v>72000000</v>
      </c>
      <c r="L27" s="53">
        <f t="shared" si="6"/>
        <v>72000000</v>
      </c>
      <c r="M27" s="53">
        <f t="shared" si="6"/>
        <v>72000000</v>
      </c>
      <c r="N27" s="53">
        <f>M27</f>
        <v>72000000</v>
      </c>
      <c r="O27" s="53">
        <f>N27</f>
        <v>72000000</v>
      </c>
      <c r="P27" s="103">
        <f>O27</f>
        <v>72000000</v>
      </c>
      <c r="Q27" s="103">
        <f>P27</f>
        <v>72000000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(G31/12*5*120%-SUM(C32:F32))+P33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f>P31/12</f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9:Q14 D10:N14 C9:N9" xr:uid="{00000000-0002-0000-3F00-000000000000}"/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7"/>
  <dimension ref="A1:V51"/>
  <sheetViews>
    <sheetView workbookViewId="0">
      <selection activeCell="G33" sqref="G3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t="s">
        <v>552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>
        <f>SUM(C9:N9)</f>
        <v>0</v>
      </c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>
        <f>SUM(C11:N11)</f>
        <v>0</v>
      </c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0</v>
      </c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>
        <f>SUM(O9:O14)</f>
        <v>0</v>
      </c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 t="shared" si="2"/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 t="shared" ref="D19:N19" si="3">IF(D17*5%&lt;500000,D17*5%,500000)</f>
        <v>0</v>
      </c>
      <c r="E19" s="37">
        <f t="shared" si="3"/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 t="shared" ref="C24:N24" si="5">C17-C22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72000000</v>
      </c>
      <c r="D27" s="53">
        <f>C27</f>
        <v>72000000</v>
      </c>
      <c r="E27" s="53">
        <f t="shared" ref="E27:M27" si="6">D27</f>
        <v>72000000</v>
      </c>
      <c r="F27" s="53">
        <f t="shared" si="6"/>
        <v>72000000</v>
      </c>
      <c r="G27" s="53">
        <f t="shared" si="6"/>
        <v>72000000</v>
      </c>
      <c r="H27" s="53">
        <f>G27</f>
        <v>72000000</v>
      </c>
      <c r="I27" s="53">
        <f t="shared" si="6"/>
        <v>72000000</v>
      </c>
      <c r="J27" s="53">
        <f t="shared" si="6"/>
        <v>72000000</v>
      </c>
      <c r="K27" s="53">
        <f t="shared" si="6"/>
        <v>72000000</v>
      </c>
      <c r="L27" s="53">
        <f t="shared" si="6"/>
        <v>72000000</v>
      </c>
      <c r="M27" s="53">
        <f t="shared" si="6"/>
        <v>72000000</v>
      </c>
      <c r="N27" s="53">
        <f>M27</f>
        <v>72000000</v>
      </c>
      <c r="O27" s="53">
        <f>N27</f>
        <v>72000000</v>
      </c>
      <c r="P27" s="103">
        <f>O27</f>
        <v>72000000</v>
      </c>
      <c r="Q27" s="103">
        <f>P27</f>
        <v>72000000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f>P31/12</f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9:N9 D10:N14 P9:Q14" xr:uid="{00000000-0002-0000-4000-000000000000}"/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8"/>
  <dimension ref="A1:V59"/>
  <sheetViews>
    <sheetView topLeftCell="F1" zoomScale="66" workbookViewId="0">
      <selection activeCell="O30" sqref="O30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550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2500000</v>
      </c>
      <c r="D13" s="92">
        <v>2500000</v>
      </c>
      <c r="E13" s="162">
        <v>2500000</v>
      </c>
      <c r="F13" s="92">
        <v>2500000</v>
      </c>
      <c r="G13" s="92">
        <v>2500000</v>
      </c>
      <c r="H13" s="92">
        <v>2600000</v>
      </c>
      <c r="I13" s="92">
        <v>2600000</v>
      </c>
      <c r="J13" s="92">
        <v>2500000</v>
      </c>
      <c r="K13" s="92">
        <v>3600000</v>
      </c>
      <c r="L13" s="92">
        <v>3600000</v>
      </c>
      <c r="M13" s="92">
        <v>3750000</v>
      </c>
      <c r="N13" s="92">
        <v>3600000</v>
      </c>
      <c r="O13" s="32">
        <f>SUM(C13:N13)</f>
        <v>34750000</v>
      </c>
      <c r="P13" s="123">
        <f t="shared" ref="P13:P18" si="1">Q13</f>
        <v>30000000</v>
      </c>
      <c r="Q13" s="123">
        <f>F13*12</f>
        <v>30000000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>
        <v>50000</v>
      </c>
      <c r="K16" s="92"/>
      <c r="L16" s="92"/>
      <c r="M16" s="92"/>
      <c r="N16" s="92"/>
      <c r="O16" s="32">
        <f>SUM(C16:N16)</f>
        <v>50000</v>
      </c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2500000</v>
      </c>
      <c r="D19" s="37">
        <f>SUM(D13:D18)</f>
        <v>2500000</v>
      </c>
      <c r="E19" s="37">
        <f>SUM(E13:E18)</f>
        <v>2500000</v>
      </c>
      <c r="F19" s="37">
        <f>SUM(F13:F18)</f>
        <v>2500000</v>
      </c>
      <c r="G19" s="37">
        <f t="shared" ref="G19:N19" si="3">SUM(G13:G18)</f>
        <v>2500000</v>
      </c>
      <c r="H19" s="37">
        <f t="shared" si="3"/>
        <v>2600000</v>
      </c>
      <c r="I19" s="37">
        <f t="shared" si="3"/>
        <v>2600000</v>
      </c>
      <c r="J19" s="37">
        <f t="shared" si="3"/>
        <v>2550000</v>
      </c>
      <c r="K19" s="37">
        <f t="shared" si="3"/>
        <v>3600000</v>
      </c>
      <c r="L19" s="37">
        <f t="shared" si="3"/>
        <v>3600000</v>
      </c>
      <c r="M19" s="37">
        <f t="shared" si="3"/>
        <v>3750000</v>
      </c>
      <c r="N19" s="37">
        <f t="shared" si="3"/>
        <v>3600000</v>
      </c>
      <c r="O19" s="38">
        <f>SUM(O13:O18)</f>
        <v>34800000</v>
      </c>
      <c r="P19" s="103">
        <f>SUM(P13:P18)</f>
        <v>30000000</v>
      </c>
      <c r="Q19" s="103">
        <f>SUM(Q13:Q18)</f>
        <v>30000000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2500000</v>
      </c>
      <c r="P20" s="110">
        <v>2500000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2500000</v>
      </c>
      <c r="D21" s="259">
        <f t="shared" ref="D21:N21" si="4">D19+D20</f>
        <v>2500000</v>
      </c>
      <c r="E21" s="259">
        <f t="shared" si="4"/>
        <v>2500000</v>
      </c>
      <c r="F21" s="259">
        <f t="shared" si="4"/>
        <v>2500000</v>
      </c>
      <c r="G21" s="259">
        <f>G19+G20</f>
        <v>2500000</v>
      </c>
      <c r="H21" s="259">
        <f t="shared" si="4"/>
        <v>2600000</v>
      </c>
      <c r="I21" s="259">
        <f t="shared" si="4"/>
        <v>2600000</v>
      </c>
      <c r="J21" s="259">
        <f t="shared" si="4"/>
        <v>2550000</v>
      </c>
      <c r="K21" s="259">
        <f t="shared" si="4"/>
        <v>3600000</v>
      </c>
      <c r="L21" s="259">
        <f t="shared" si="4"/>
        <v>3600000</v>
      </c>
      <c r="M21" s="259">
        <f t="shared" si="4"/>
        <v>3750000</v>
      </c>
      <c r="N21" s="259">
        <f t="shared" si="4"/>
        <v>3600000</v>
      </c>
      <c r="O21" s="259">
        <f>O19+O20</f>
        <v>37300000</v>
      </c>
      <c r="P21" s="103">
        <f>P19+P20</f>
        <v>32500000</v>
      </c>
      <c r="Q21" s="103">
        <f>Q19+Q20</f>
        <v>30000000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125000</v>
      </c>
      <c r="D23" s="257">
        <f t="shared" ref="D23:O23" si="5">IF(D21*5%&lt;500000,D21*5%,500000)</f>
        <v>125000</v>
      </c>
      <c r="E23" s="257">
        <f t="shared" si="5"/>
        <v>125000</v>
      </c>
      <c r="F23" s="257">
        <f t="shared" si="5"/>
        <v>125000</v>
      </c>
      <c r="G23" s="257">
        <f>IF(G21*5%&lt;500000,G21*5%,500000)</f>
        <v>125000</v>
      </c>
      <c r="H23" s="257">
        <f t="shared" si="5"/>
        <v>130000</v>
      </c>
      <c r="I23" s="257">
        <f t="shared" si="5"/>
        <v>130000</v>
      </c>
      <c r="J23" s="257">
        <f t="shared" si="5"/>
        <v>127500</v>
      </c>
      <c r="K23" s="257">
        <f t="shared" si="5"/>
        <v>180000</v>
      </c>
      <c r="L23" s="257">
        <f t="shared" si="5"/>
        <v>180000</v>
      </c>
      <c r="M23" s="257">
        <f t="shared" si="5"/>
        <v>187500</v>
      </c>
      <c r="N23" s="257">
        <f t="shared" si="5"/>
        <v>180000</v>
      </c>
      <c r="O23" s="257">
        <f>IF(O21*5%&lt;6000000,O21*5%,6000000)</f>
        <v>1865000</v>
      </c>
      <c r="P23" s="110">
        <f>IF(P21*5%&lt;6000000,P21*5%,6000000)</f>
        <v>1625000</v>
      </c>
      <c r="Q23" s="110">
        <f>IF(Q21*5%&lt;6000000,Q21*5%,6000000)</f>
        <v>1500000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125000</v>
      </c>
      <c r="D26" s="257">
        <f t="shared" si="6"/>
        <v>125000</v>
      </c>
      <c r="E26" s="257">
        <f t="shared" si="6"/>
        <v>125000</v>
      </c>
      <c r="F26" s="257">
        <f t="shared" si="6"/>
        <v>125000</v>
      </c>
      <c r="G26" s="257">
        <f>SUM(G23:G25)</f>
        <v>125000</v>
      </c>
      <c r="H26" s="257">
        <f t="shared" si="6"/>
        <v>130000</v>
      </c>
      <c r="I26" s="257">
        <f t="shared" si="6"/>
        <v>130000</v>
      </c>
      <c r="J26" s="257">
        <f t="shared" si="6"/>
        <v>127500</v>
      </c>
      <c r="K26" s="257">
        <f t="shared" si="6"/>
        <v>180000</v>
      </c>
      <c r="L26" s="257">
        <f t="shared" si="6"/>
        <v>180000</v>
      </c>
      <c r="M26" s="257">
        <f t="shared" si="6"/>
        <v>187500</v>
      </c>
      <c r="N26" s="257">
        <f t="shared" si="6"/>
        <v>180000</v>
      </c>
      <c r="O26" s="263">
        <f>SUM(O22:O25)</f>
        <v>1865000</v>
      </c>
      <c r="P26" s="103">
        <f>SUM(P23:P25)</f>
        <v>1625000</v>
      </c>
      <c r="Q26" s="103">
        <f>SUM(Q23:Q25)</f>
        <v>1500000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2375000</v>
      </c>
      <c r="D28" s="255">
        <f t="shared" ref="D28:O28" si="7">D21-D26</f>
        <v>2375000</v>
      </c>
      <c r="E28" s="255">
        <f t="shared" si="7"/>
        <v>2375000</v>
      </c>
      <c r="F28" s="255">
        <f t="shared" si="7"/>
        <v>2375000</v>
      </c>
      <c r="G28" s="255">
        <f>G21-G26</f>
        <v>2375000</v>
      </c>
      <c r="H28" s="255">
        <f t="shared" si="7"/>
        <v>2470000</v>
      </c>
      <c r="I28" s="255">
        <f t="shared" si="7"/>
        <v>2470000</v>
      </c>
      <c r="J28" s="255">
        <f t="shared" si="7"/>
        <v>2422500</v>
      </c>
      <c r="K28" s="255">
        <f t="shared" si="7"/>
        <v>3420000</v>
      </c>
      <c r="L28" s="255">
        <f t="shared" si="7"/>
        <v>3420000</v>
      </c>
      <c r="M28" s="255">
        <f t="shared" si="7"/>
        <v>3562500</v>
      </c>
      <c r="N28" s="255">
        <f t="shared" si="7"/>
        <v>3420000</v>
      </c>
      <c r="O28" s="255">
        <f t="shared" si="7"/>
        <v>35435000</v>
      </c>
      <c r="P28" s="103">
        <f>P21-P26</f>
        <v>30875000</v>
      </c>
      <c r="Q28" s="103">
        <f>Q21-Q26</f>
        <v>28500000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28500000</v>
      </c>
      <c r="D30" s="253">
        <f>SUM(C28:D28)*D10/D11</f>
        <v>28500000</v>
      </c>
      <c r="E30" s="253">
        <f>SUM(C28:E28)*E10/E11</f>
        <v>28500000</v>
      </c>
      <c r="F30" s="253">
        <f>SUM(C28:F28)*F10/F11</f>
        <v>28500000</v>
      </c>
      <c r="G30" s="253">
        <f>SUM(C28:G28)*G10/G11</f>
        <v>28500000</v>
      </c>
      <c r="H30" s="253">
        <f>SUM(C28:H28)*H10/H11</f>
        <v>28690000</v>
      </c>
      <c r="I30" s="253">
        <f>SUM(C28:I28)*I10/I11</f>
        <v>28825714.285714287</v>
      </c>
      <c r="J30" s="253">
        <f>SUM(C28:J28)*J10/J11</f>
        <v>28856250</v>
      </c>
      <c r="K30" s="253">
        <f>SUM(C28:K28)*K10/K11</f>
        <v>30210000</v>
      </c>
      <c r="L30" s="253">
        <f>SUM(C28:L28)*L10/L11</f>
        <v>31293000</v>
      </c>
      <c r="M30" s="253">
        <f>SUM(C28:M28)*M10/M11</f>
        <v>32334545.454545453</v>
      </c>
      <c r="N30" s="253">
        <f>SUM(C28:N28)*N10/N11</f>
        <v>33060000</v>
      </c>
      <c r="O30" s="254">
        <f>O28</f>
        <v>35435000</v>
      </c>
      <c r="P30" s="108">
        <f>P28</f>
        <v>30875000</v>
      </c>
      <c r="Q30" s="108">
        <f>Q28</f>
        <v>28500000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2500000</v>
      </c>
      <c r="D41" s="50">
        <f t="shared" si="14"/>
        <v>2500000</v>
      </c>
      <c r="E41" s="50">
        <f t="shared" si="14"/>
        <v>2500000</v>
      </c>
      <c r="F41" s="50">
        <f t="shared" si="14"/>
        <v>2500000</v>
      </c>
      <c r="G41" s="50">
        <f t="shared" si="14"/>
        <v>2500000</v>
      </c>
      <c r="H41" s="50">
        <f t="shared" si="14"/>
        <v>2600000</v>
      </c>
      <c r="I41" s="50">
        <f t="shared" si="14"/>
        <v>2600000</v>
      </c>
      <c r="J41" s="50">
        <f t="shared" si="14"/>
        <v>2550000</v>
      </c>
      <c r="K41" s="50">
        <f>K21-K25-K36</f>
        <v>3600000</v>
      </c>
      <c r="L41" s="50">
        <f>L21-L25-L36</f>
        <v>3600000</v>
      </c>
      <c r="M41" s="50">
        <f>M21-M25-M36</f>
        <v>3750000</v>
      </c>
      <c r="N41" s="50">
        <f>N21-N25-N36</f>
        <v>3600000</v>
      </c>
      <c r="O41" s="50">
        <f>O21-O25-O36-O38</f>
        <v>37300000</v>
      </c>
      <c r="P41" s="126">
        <f>P21-P25-P36</f>
        <v>32500000</v>
      </c>
      <c r="Q41" s="126">
        <f>Q21-Q25-Q36</f>
        <v>30000000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4100-000000000000}"/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9"/>
  <dimension ref="A1:V51"/>
  <sheetViews>
    <sheetView topLeftCell="A8" workbookViewId="0">
      <pane xSplit="2" ySplit="1" topLeftCell="C9" activePane="bottomRight" state="frozen"/>
      <selection activeCell="J32" sqref="J32"/>
      <selection pane="topRight" activeCell="J32" sqref="J32"/>
      <selection pane="bottomLeft" activeCell="J32" sqref="J32"/>
      <selection pane="bottomRight" activeCell="G33" sqref="G3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577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>
        <f>SUM(C9:N9)</f>
        <v>0</v>
      </c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>
        <f>SUM(C11:N11)</f>
        <v>0</v>
      </c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0</v>
      </c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>
        <f>SUM(O9:O14)</f>
        <v>0</v>
      </c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 t="shared" si="2"/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 t="shared" ref="D19:N19" si="3">IF(D17*5%&lt;500000,D17*5%,500000)</f>
        <v>0</v>
      </c>
      <c r="E19" s="37">
        <f t="shared" si="3"/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 t="shared" ref="C24:N24" si="5">C17-C22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72000000</v>
      </c>
      <c r="D27" s="53">
        <f>C27</f>
        <v>72000000</v>
      </c>
      <c r="E27" s="53">
        <f t="shared" ref="E27:M27" si="6">D27</f>
        <v>72000000</v>
      </c>
      <c r="F27" s="53">
        <f t="shared" si="6"/>
        <v>72000000</v>
      </c>
      <c r="G27" s="53">
        <f t="shared" si="6"/>
        <v>72000000</v>
      </c>
      <c r="H27" s="53">
        <f>G27</f>
        <v>72000000</v>
      </c>
      <c r="I27" s="53">
        <f t="shared" si="6"/>
        <v>72000000</v>
      </c>
      <c r="J27" s="53">
        <f t="shared" si="6"/>
        <v>72000000</v>
      </c>
      <c r="K27" s="53">
        <f t="shared" si="6"/>
        <v>72000000</v>
      </c>
      <c r="L27" s="53">
        <f t="shared" si="6"/>
        <v>72000000</v>
      </c>
      <c r="M27" s="53">
        <f t="shared" si="6"/>
        <v>72000000</v>
      </c>
      <c r="N27" s="53">
        <f>M27</f>
        <v>72000000</v>
      </c>
      <c r="O27" s="53">
        <f>N27</f>
        <v>72000000</v>
      </c>
      <c r="P27" s="103">
        <f>O27</f>
        <v>72000000</v>
      </c>
      <c r="Q27" s="103">
        <f>P27</f>
        <v>72000000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f>P31/12</f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9:Q14 D10:N14 C9:N9" xr:uid="{00000000-0002-0000-4200-000000000000}"/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70"/>
  <dimension ref="A1:V59"/>
  <sheetViews>
    <sheetView topLeftCell="C1" zoomScale="57" workbookViewId="0">
      <selection activeCell="O25" sqref="O25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549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80</v>
      </c>
      <c r="Q12" s="122" t="s">
        <v>3</v>
      </c>
    </row>
    <row r="13" spans="1:17" ht="20.100000000000001" customHeight="1" x14ac:dyDescent="0.25">
      <c r="A13" s="30">
        <v>1</v>
      </c>
      <c r="B13" s="31" t="s">
        <v>9</v>
      </c>
      <c r="C13" s="92">
        <v>2000000</v>
      </c>
      <c r="D13" s="92">
        <v>2000000</v>
      </c>
      <c r="E13" s="162">
        <v>2000000</v>
      </c>
      <c r="F13" s="92"/>
      <c r="G13" s="92">
        <v>2000000</v>
      </c>
      <c r="H13" s="92">
        <v>2500000</v>
      </c>
      <c r="I13" s="92"/>
      <c r="J13" s="92"/>
      <c r="K13" s="92"/>
      <c r="L13" s="92"/>
      <c r="M13" s="92"/>
      <c r="N13" s="92"/>
      <c r="O13" s="32">
        <f>SUM(C13:N13)</f>
        <v>10500000</v>
      </c>
      <c r="P13" s="123">
        <f t="shared" ref="P13:P18" si="1">Q13</f>
        <v>24000000</v>
      </c>
      <c r="Q13" s="123">
        <f t="shared" ref="Q13:Q18" si="2">G13*12</f>
        <v>24000000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si="2"/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2000000</v>
      </c>
      <c r="D19" s="37">
        <f>SUM(D13:D18)</f>
        <v>2000000</v>
      </c>
      <c r="E19" s="37">
        <f>SUM(E13:E18)</f>
        <v>2000000</v>
      </c>
      <c r="F19" s="37"/>
      <c r="G19" s="37">
        <f>SUM(G13:G18)</f>
        <v>2000000</v>
      </c>
      <c r="H19" s="37">
        <f>SUM(H13:H18)</f>
        <v>2500000</v>
      </c>
      <c r="I19" s="37"/>
      <c r="J19" s="37"/>
      <c r="K19" s="37"/>
      <c r="L19" s="37"/>
      <c r="M19" s="37"/>
      <c r="N19" s="37"/>
      <c r="O19" s="38">
        <f>SUM(O13:O18)</f>
        <v>10500000</v>
      </c>
      <c r="P19" s="103">
        <f>SUM(P13:P18)</f>
        <v>24000000</v>
      </c>
      <c r="Q19" s="103">
        <f>SUM(Q13:Q18)</f>
        <v>24000000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2000000</v>
      </c>
      <c r="D21" s="259">
        <f t="shared" ref="D21:N21" si="3">D19+D20</f>
        <v>2000000</v>
      </c>
      <c r="E21" s="259">
        <f t="shared" si="3"/>
        <v>2000000</v>
      </c>
      <c r="F21" s="259">
        <f t="shared" si="3"/>
        <v>0</v>
      </c>
      <c r="G21" s="259">
        <f>G19+G20</f>
        <v>2000000</v>
      </c>
      <c r="H21" s="259">
        <f t="shared" si="3"/>
        <v>2500000</v>
      </c>
      <c r="I21" s="259">
        <f t="shared" si="3"/>
        <v>0</v>
      </c>
      <c r="J21" s="259">
        <f t="shared" si="3"/>
        <v>0</v>
      </c>
      <c r="K21" s="259">
        <f t="shared" si="3"/>
        <v>0</v>
      </c>
      <c r="L21" s="259">
        <f t="shared" si="3"/>
        <v>0</v>
      </c>
      <c r="M21" s="259">
        <f t="shared" si="3"/>
        <v>0</v>
      </c>
      <c r="N21" s="259">
        <f t="shared" si="3"/>
        <v>0</v>
      </c>
      <c r="O21" s="259">
        <f>O19+O20</f>
        <v>10500000</v>
      </c>
      <c r="P21" s="103">
        <f>P19+P20</f>
        <v>24000000</v>
      </c>
      <c r="Q21" s="103">
        <f>Q19+Q20</f>
        <v>24000000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100000</v>
      </c>
      <c r="D23" s="257">
        <f t="shared" ref="D23:O23" si="4">IF(D21*5%&lt;500000,D21*5%,500000)</f>
        <v>100000</v>
      </c>
      <c r="E23" s="257">
        <f t="shared" si="4"/>
        <v>100000</v>
      </c>
      <c r="F23" s="257">
        <f t="shared" si="4"/>
        <v>0</v>
      </c>
      <c r="G23" s="257">
        <f>IF(G21*5%&lt;500000,G21*5%,500000)</f>
        <v>100000</v>
      </c>
      <c r="H23" s="257">
        <f t="shared" si="4"/>
        <v>125000</v>
      </c>
      <c r="I23" s="257">
        <f t="shared" si="4"/>
        <v>0</v>
      </c>
      <c r="J23" s="257">
        <f t="shared" si="4"/>
        <v>0</v>
      </c>
      <c r="K23" s="257">
        <f t="shared" si="4"/>
        <v>0</v>
      </c>
      <c r="L23" s="257">
        <f t="shared" si="4"/>
        <v>0</v>
      </c>
      <c r="M23" s="257">
        <f t="shared" si="4"/>
        <v>0</v>
      </c>
      <c r="N23" s="257">
        <f t="shared" si="4"/>
        <v>0</v>
      </c>
      <c r="O23" s="257">
        <f>IF(O21*5%&lt;6000000,O21*5%,6000000)</f>
        <v>525000</v>
      </c>
      <c r="P23" s="110">
        <f>IF(P21*5%&lt;6000000,P21*5%,6000000)</f>
        <v>1200000</v>
      </c>
      <c r="Q23" s="110">
        <f>IF(Q21*5%&lt;6000000,Q21*5%,6000000)</f>
        <v>1200000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5">SUM(C23:C25)</f>
        <v>100000</v>
      </c>
      <c r="D26" s="257">
        <f t="shared" si="5"/>
        <v>100000</v>
      </c>
      <c r="E26" s="257">
        <f t="shared" si="5"/>
        <v>100000</v>
      </c>
      <c r="F26" s="257">
        <f t="shared" si="5"/>
        <v>0</v>
      </c>
      <c r="G26" s="257">
        <f>SUM(G23:G25)</f>
        <v>100000</v>
      </c>
      <c r="H26" s="257">
        <f t="shared" si="5"/>
        <v>125000</v>
      </c>
      <c r="I26" s="257">
        <f t="shared" si="5"/>
        <v>0</v>
      </c>
      <c r="J26" s="257">
        <f t="shared" si="5"/>
        <v>0</v>
      </c>
      <c r="K26" s="257">
        <f t="shared" si="5"/>
        <v>0</v>
      </c>
      <c r="L26" s="257">
        <f t="shared" si="5"/>
        <v>0</v>
      </c>
      <c r="M26" s="257">
        <f t="shared" si="5"/>
        <v>0</v>
      </c>
      <c r="N26" s="257">
        <f t="shared" si="5"/>
        <v>0</v>
      </c>
      <c r="O26" s="263">
        <f>SUM(O22:O25)</f>
        <v>525000</v>
      </c>
      <c r="P26" s="103">
        <f>SUM(P23:P25)</f>
        <v>1200000</v>
      </c>
      <c r="Q26" s="103">
        <f>SUM(Q23:Q25)</f>
        <v>1200000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1900000</v>
      </c>
      <c r="D28" s="255">
        <f t="shared" ref="D28:O28" si="6">D21-D26</f>
        <v>1900000</v>
      </c>
      <c r="E28" s="255">
        <f t="shared" si="6"/>
        <v>1900000</v>
      </c>
      <c r="F28" s="255">
        <f t="shared" si="6"/>
        <v>0</v>
      </c>
      <c r="G28" s="255">
        <f>G21-G26</f>
        <v>1900000</v>
      </c>
      <c r="H28" s="255">
        <f t="shared" si="6"/>
        <v>2375000</v>
      </c>
      <c r="I28" s="255">
        <f t="shared" si="6"/>
        <v>0</v>
      </c>
      <c r="J28" s="255">
        <f t="shared" si="6"/>
        <v>0</v>
      </c>
      <c r="K28" s="255">
        <f t="shared" si="6"/>
        <v>0</v>
      </c>
      <c r="L28" s="255">
        <f t="shared" si="6"/>
        <v>0</v>
      </c>
      <c r="M28" s="255">
        <f t="shared" si="6"/>
        <v>0</v>
      </c>
      <c r="N28" s="255">
        <f t="shared" si="6"/>
        <v>0</v>
      </c>
      <c r="O28" s="255">
        <f t="shared" si="6"/>
        <v>9975000</v>
      </c>
      <c r="P28" s="103">
        <f>P21-P26</f>
        <v>22800000</v>
      </c>
      <c r="Q28" s="103">
        <f>Q21-Q26</f>
        <v>22800000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22800000</v>
      </c>
      <c r="D30" s="253">
        <f>SUM(C28:D28)*D10/D11</f>
        <v>22800000</v>
      </c>
      <c r="E30" s="253">
        <f>SUM(C28:E28)*E10/E11</f>
        <v>22800000</v>
      </c>
      <c r="F30" s="253">
        <f>SUM(C28:F28)*F10/F11</f>
        <v>17100000</v>
      </c>
      <c r="G30" s="253">
        <f>SUM(C28:G28)*G10/G11</f>
        <v>18240000</v>
      </c>
      <c r="H30" s="253">
        <f>SUM(C28:H28)*H10/H11</f>
        <v>19950000</v>
      </c>
      <c r="I30" s="253">
        <f>SUM(C28:I28)*I10/I11</f>
        <v>17100000</v>
      </c>
      <c r="J30" s="253">
        <f>SUM(C28:J28)*J10/J11</f>
        <v>14962500</v>
      </c>
      <c r="K30" s="253">
        <f>SUM(C28:K28)*K10/K11</f>
        <v>13300000</v>
      </c>
      <c r="L30" s="253">
        <f>SUM(C28:L28)*L10/L11</f>
        <v>11970000</v>
      </c>
      <c r="M30" s="253">
        <f>SUM(C28:M28)*M10/M11</f>
        <v>10881818.181818182</v>
      </c>
      <c r="N30" s="253">
        <f>SUM(C28:N28)*N10/N11</f>
        <v>9975000</v>
      </c>
      <c r="O30" s="254">
        <f>O28</f>
        <v>9975000</v>
      </c>
      <c r="P30" s="108">
        <f>P28</f>
        <v>22800000</v>
      </c>
      <c r="Q30" s="108">
        <f>Q28</f>
        <v>22800000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7">IF(C30&gt;0,VLOOKUP(C9,$B$47:$C$59,2,FALSE),0)</f>
        <v>72000000</v>
      </c>
      <c r="D31" s="255">
        <f t="shared" si="7"/>
        <v>72000000</v>
      </c>
      <c r="E31" s="255">
        <f t="shared" si="7"/>
        <v>72000000</v>
      </c>
      <c r="F31" s="255">
        <f t="shared" si="7"/>
        <v>72000000</v>
      </c>
      <c r="G31" s="255">
        <f>IF(G30&gt;0,VLOOKUP(G9,$B$47:$C$59,2,FALSE),0)</f>
        <v>72000000</v>
      </c>
      <c r="H31" s="255">
        <f t="shared" si="7"/>
        <v>72000000</v>
      </c>
      <c r="I31" s="255">
        <f t="shared" si="7"/>
        <v>72000000</v>
      </c>
      <c r="J31" s="255">
        <f t="shared" si="7"/>
        <v>72000000</v>
      </c>
      <c r="K31" s="255">
        <f t="shared" si="7"/>
        <v>72000000</v>
      </c>
      <c r="L31" s="255">
        <f t="shared" si="7"/>
        <v>72000000</v>
      </c>
      <c r="M31" s="255">
        <f t="shared" si="7"/>
        <v>72000000</v>
      </c>
      <c r="N31" s="255">
        <f t="shared" si="7"/>
        <v>72000000</v>
      </c>
      <c r="O31" s="255">
        <f t="shared" si="7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8">ROUNDDOWN(IF(D30&lt;=D31,0,IF(D30&gt;D31,D30-D31)),-3)</f>
        <v>0</v>
      </c>
      <c r="E32" s="256">
        <f t="shared" si="8"/>
        <v>0</v>
      </c>
      <c r="F32" s="256">
        <f t="shared" si="8"/>
        <v>0</v>
      </c>
      <c r="G32" s="256">
        <f t="shared" si="8"/>
        <v>0</v>
      </c>
      <c r="H32" s="256">
        <f t="shared" si="8"/>
        <v>0</v>
      </c>
      <c r="I32" s="256">
        <f>ROUNDDOWN(IF(I30&lt;=I31,0,IF(I30&gt;I31,I30-I31)),-3)</f>
        <v>0</v>
      </c>
      <c r="J32" s="256">
        <f t="shared" si="8"/>
        <v>0</v>
      </c>
      <c r="K32" s="256">
        <f t="shared" si="8"/>
        <v>0</v>
      </c>
      <c r="L32" s="256">
        <f t="shared" si="8"/>
        <v>0</v>
      </c>
      <c r="M32" s="256">
        <f t="shared" si="8"/>
        <v>0</v>
      </c>
      <c r="N32" s="256">
        <f t="shared" si="8"/>
        <v>0</v>
      </c>
      <c r="O32" s="256">
        <f t="shared" si="8"/>
        <v>0</v>
      </c>
      <c r="P32" s="103">
        <f t="shared" ref="D32:Q32" si="9">ROUNDDOWN(IF(P30&lt;=P31,0,IF(P30&gt;P31,P30-P31)),-3)</f>
        <v>0</v>
      </c>
      <c r="Q32" s="103">
        <f t="shared" si="9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0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0"/>
        <v>0</v>
      </c>
      <c r="E33" s="257">
        <f t="shared" si="10"/>
        <v>0</v>
      </c>
      <c r="F33" s="257">
        <f t="shared" si="10"/>
        <v>0</v>
      </c>
      <c r="G33" s="257">
        <f t="shared" si="10"/>
        <v>0</v>
      </c>
      <c r="H33" s="257">
        <f t="shared" si="10"/>
        <v>0</v>
      </c>
      <c r="I33" s="257">
        <f t="shared" si="10"/>
        <v>0</v>
      </c>
      <c r="J33" s="257">
        <f t="shared" si="10"/>
        <v>0</v>
      </c>
      <c r="K33" s="257">
        <f t="shared" si="10"/>
        <v>0</v>
      </c>
      <c r="L33" s="257">
        <f t="shared" si="10"/>
        <v>0</v>
      </c>
      <c r="M33" s="257">
        <f t="shared" si="10"/>
        <v>0</v>
      </c>
      <c r="N33" s="257">
        <f t="shared" si="10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103">
        <f>IF(P32&lt;0,0,IF(P32&lt;50000000,P32*5%,IF(P32&lt;250000000,(P32-50000000)*15%+2500000,IF(P32&lt;500000000,(P32-250000000)*25%+32500000,IF(P32&gt;500000000,(P32-500000000)*30%+95000000)))))</f>
        <v>0</v>
      </c>
      <c r="Q33" s="103">
        <f>IF(Q32&lt;0,0,IF(Q32&lt;50000000,Q32*5%,IF(Q32&lt;250000000,(Q32-50000000)*15%+2500000,IF(Q32&lt;500000000,(Q32-250000000)*25%+32500000,IF(Q32&gt;500000000,(Q32-500000000)*30%+95000000)))))</f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1">D33-D34</f>
        <v>0</v>
      </c>
      <c r="E35" s="255">
        <f t="shared" si="11"/>
        <v>0</v>
      </c>
      <c r="F35" s="255">
        <f t="shared" si="11"/>
        <v>0</v>
      </c>
      <c r="G35" s="255">
        <f t="shared" si="11"/>
        <v>0</v>
      </c>
      <c r="H35" s="255">
        <f t="shared" si="11"/>
        <v>0</v>
      </c>
      <c r="I35" s="255">
        <f t="shared" si="11"/>
        <v>0</v>
      </c>
      <c r="J35" s="255">
        <f t="shared" si="11"/>
        <v>0</v>
      </c>
      <c r="K35" s="255">
        <f t="shared" si="11"/>
        <v>0</v>
      </c>
      <c r="L35" s="255">
        <f t="shared" si="11"/>
        <v>0</v>
      </c>
      <c r="M35" s="255">
        <f t="shared" si="11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2">C21-C25-C36</f>
        <v>2000000</v>
      </c>
      <c r="D41" s="50">
        <f t="shared" si="12"/>
        <v>2000000</v>
      </c>
      <c r="E41" s="50">
        <f t="shared" si="12"/>
        <v>2000000</v>
      </c>
      <c r="F41" s="50">
        <f t="shared" si="12"/>
        <v>0</v>
      </c>
      <c r="G41" s="50">
        <f t="shared" si="12"/>
        <v>2000000</v>
      </c>
      <c r="H41" s="50">
        <f t="shared" si="12"/>
        <v>2500000</v>
      </c>
      <c r="I41" s="50">
        <f t="shared" si="12"/>
        <v>0</v>
      </c>
      <c r="J41" s="50">
        <f t="shared" si="12"/>
        <v>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0</v>
      </c>
      <c r="O41" s="50">
        <f>O21-O25-O36-O38</f>
        <v>10500000</v>
      </c>
      <c r="P41" s="126">
        <f>P21-P25-P36</f>
        <v>24000000</v>
      </c>
      <c r="Q41" s="126">
        <f>Q21-Q25-Q36</f>
        <v>24000000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4300-000000000000}"/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52"/>
  <dimension ref="A1:V51"/>
  <sheetViews>
    <sheetView topLeftCell="A8" workbookViewId="0">
      <pane xSplit="2" ySplit="1" topLeftCell="C9" activePane="bottomRight" state="frozen"/>
      <selection activeCell="J32" sqref="J32"/>
      <selection pane="topRight" activeCell="J32" sqref="J32"/>
      <selection pane="bottomLeft" activeCell="J32" sqref="J32"/>
      <selection pane="bottomRight" activeCell="G33" sqref="G3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452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>
        <f>SUM(C9:N9)</f>
        <v>0</v>
      </c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>
        <f>SUM(C11:N11)</f>
        <v>0</v>
      </c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0</v>
      </c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>
        <f>SUM(O9:O14)</f>
        <v>0</v>
      </c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 t="shared" si="2"/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 t="shared" ref="D19:N19" si="3">IF(D17*5%&lt;500000,D17*5%,500000)</f>
        <v>0</v>
      </c>
      <c r="E19" s="37">
        <f t="shared" si="3"/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 t="shared" ref="C24:N24" si="5">C17-C22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72000000</v>
      </c>
      <c r="D27" s="53">
        <f>C27</f>
        <v>72000000</v>
      </c>
      <c r="E27" s="53">
        <f t="shared" ref="E27:M27" si="6">D27</f>
        <v>72000000</v>
      </c>
      <c r="F27" s="53">
        <f t="shared" si="6"/>
        <v>72000000</v>
      </c>
      <c r="G27" s="53">
        <f t="shared" si="6"/>
        <v>72000000</v>
      </c>
      <c r="H27" s="53">
        <f>G27</f>
        <v>72000000</v>
      </c>
      <c r="I27" s="53">
        <f t="shared" si="6"/>
        <v>72000000</v>
      </c>
      <c r="J27" s="53">
        <f t="shared" si="6"/>
        <v>72000000</v>
      </c>
      <c r="K27" s="53">
        <f t="shared" si="6"/>
        <v>72000000</v>
      </c>
      <c r="L27" s="53">
        <f t="shared" si="6"/>
        <v>72000000</v>
      </c>
      <c r="M27" s="53">
        <f t="shared" si="6"/>
        <v>72000000</v>
      </c>
      <c r="N27" s="53">
        <f>M27</f>
        <v>72000000</v>
      </c>
      <c r="O27" s="53">
        <f>N27</f>
        <v>72000000</v>
      </c>
      <c r="P27" s="103">
        <f>O27</f>
        <v>72000000</v>
      </c>
      <c r="Q27" s="103">
        <f>P27</f>
        <v>72000000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f>P31/12</f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9:N9 D10:N14 P9:Q14" xr:uid="{00000000-0002-0000-44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6">
    <tabColor rgb="FFC00000"/>
  </sheetPr>
  <dimension ref="A1:V59"/>
  <sheetViews>
    <sheetView topLeftCell="H22" zoomScale="67" zoomScaleNormal="100" workbookViewId="0">
      <selection activeCell="C36" sqref="C36:N36"/>
    </sheetView>
  </sheetViews>
  <sheetFormatPr defaultColWidth="9.140625" defaultRowHeight="15" x14ac:dyDescent="0.25"/>
  <cols>
    <col min="1" max="1" width="8.5703125" style="3" bestFit="1" customWidth="1"/>
    <col min="2" max="2" width="62.42578125" style="3" customWidth="1"/>
    <col min="3" max="5" width="14" style="93" bestFit="1" customWidth="1"/>
    <col min="6" max="6" width="14.28515625" style="93" customWidth="1"/>
    <col min="7" max="7" width="16.42578125" style="93" customWidth="1"/>
    <col min="8" max="8" width="14.140625" style="93" customWidth="1"/>
    <col min="9" max="13" width="13.42578125" style="93" bestFit="1" customWidth="1"/>
    <col min="14" max="14" width="14.7109375" style="93" customWidth="1"/>
    <col min="15" max="15" width="14" style="9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448</v>
      </c>
      <c r="C1" s="18"/>
      <c r="D1" s="18"/>
      <c r="E1" s="18"/>
      <c r="F1" s="18"/>
      <c r="G1" s="18"/>
      <c r="H1" s="18"/>
      <c r="I1" s="18"/>
      <c r="J1" s="18"/>
      <c r="K1" s="18"/>
      <c r="O1" s="18"/>
      <c r="P1" s="94"/>
      <c r="Q1" s="94"/>
    </row>
    <row r="2" spans="1:17" x14ac:dyDescent="0.25">
      <c r="A2" s="6" t="s">
        <v>38</v>
      </c>
      <c r="B2" s="4"/>
      <c r="C2" s="18"/>
      <c r="D2" s="18"/>
      <c r="E2" s="18"/>
      <c r="F2" s="18"/>
      <c r="G2" s="18"/>
      <c r="H2" s="18"/>
      <c r="I2" s="18"/>
      <c r="J2" s="18"/>
      <c r="K2" s="18"/>
      <c r="O2" s="18"/>
      <c r="P2" s="94"/>
      <c r="Q2" s="94"/>
    </row>
    <row r="3" spans="1:17" x14ac:dyDescent="0.25">
      <c r="A3" s="6" t="s">
        <v>53</v>
      </c>
      <c r="B3" s="4" t="s">
        <v>64</v>
      </c>
      <c r="C3" s="18"/>
      <c r="D3" s="18"/>
      <c r="E3" s="18"/>
      <c r="F3" s="18"/>
      <c r="G3" s="18"/>
      <c r="H3" s="18"/>
      <c r="I3" s="18"/>
      <c r="J3" s="18"/>
      <c r="K3" s="18"/>
      <c r="O3" s="18"/>
      <c r="P3" s="94"/>
      <c r="Q3" s="94"/>
    </row>
    <row r="4" spans="1:17" x14ac:dyDescent="0.25">
      <c r="A4" s="5" t="s">
        <v>36</v>
      </c>
      <c r="B4" s="17"/>
      <c r="C4" s="18"/>
      <c r="D4" s="18"/>
      <c r="E4" s="18"/>
      <c r="F4" s="18"/>
      <c r="G4" s="18"/>
      <c r="H4" s="18"/>
      <c r="I4" s="18"/>
      <c r="J4" s="18"/>
      <c r="K4" s="18"/>
      <c r="O4" s="18"/>
      <c r="P4" s="94"/>
      <c r="Q4" s="94"/>
    </row>
    <row r="5" spans="1:17" x14ac:dyDescent="0.25">
      <c r="A5" s="6" t="s">
        <v>77</v>
      </c>
      <c r="B5" s="4"/>
      <c r="C5" s="18"/>
      <c r="D5" s="18"/>
      <c r="E5" s="18"/>
      <c r="F5" s="18"/>
      <c r="G5" s="18"/>
      <c r="H5" s="18"/>
      <c r="I5" s="18"/>
      <c r="J5" s="18"/>
      <c r="K5" s="18"/>
      <c r="O5" s="18"/>
      <c r="P5" s="94"/>
      <c r="Q5" s="94"/>
    </row>
    <row r="6" spans="1:17" x14ac:dyDescent="0.25">
      <c r="A6" s="6"/>
      <c r="B6" s="4"/>
      <c r="C6" s="18"/>
      <c r="D6" s="18"/>
      <c r="E6" s="18"/>
      <c r="F6" s="18"/>
      <c r="G6" s="18"/>
      <c r="H6" s="18"/>
      <c r="I6" s="18"/>
      <c r="J6" s="18"/>
      <c r="K6" s="18"/>
      <c r="O6" s="18"/>
      <c r="P6" s="94"/>
      <c r="Q6" s="94"/>
    </row>
    <row r="7" spans="1:17" x14ac:dyDescent="0.25">
      <c r="A7" s="23"/>
      <c r="B7" s="24"/>
      <c r="C7" s="19"/>
      <c r="D7" s="19"/>
      <c r="E7" s="19"/>
      <c r="F7" s="19"/>
      <c r="G7" s="19"/>
      <c r="H7" s="19"/>
      <c r="I7" s="19"/>
      <c r="J7" s="19"/>
      <c r="K7" s="19"/>
      <c r="L7" s="95"/>
      <c r="M7" s="96"/>
      <c r="N7" s="96"/>
      <c r="O7" s="19"/>
      <c r="P7" s="19"/>
      <c r="Q7" s="19"/>
    </row>
    <row r="8" spans="1:17" x14ac:dyDescent="0.25">
      <c r="A8" s="23"/>
      <c r="B8" s="24"/>
      <c r="C8" s="19"/>
      <c r="D8" s="19"/>
      <c r="E8" s="19"/>
      <c r="F8" s="19"/>
      <c r="G8" s="19"/>
      <c r="H8" s="19"/>
      <c r="I8" s="19"/>
      <c r="J8" s="19"/>
      <c r="K8" s="19"/>
      <c r="L8" s="95"/>
      <c r="M8" s="96"/>
      <c r="N8" s="96"/>
      <c r="O8" s="19"/>
      <c r="P8" s="19"/>
      <c r="Q8" s="19"/>
    </row>
    <row r="9" spans="1:17" x14ac:dyDescent="0.25">
      <c r="A9" s="23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19"/>
      <c r="Q9" s="19"/>
    </row>
    <row r="10" spans="1:17" x14ac:dyDescent="0.25">
      <c r="A10" s="23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19"/>
      <c r="Q10" s="19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97" t="s">
        <v>39</v>
      </c>
      <c r="D12" s="97" t="s">
        <v>40</v>
      </c>
      <c r="E12" s="97" t="s">
        <v>41</v>
      </c>
      <c r="F12" s="97" t="s">
        <v>2</v>
      </c>
      <c r="G12" s="97" t="s">
        <v>42</v>
      </c>
      <c r="H12" s="97" t="s">
        <v>43</v>
      </c>
      <c r="I12" s="97" t="s">
        <v>44</v>
      </c>
      <c r="J12" s="97" t="s">
        <v>45</v>
      </c>
      <c r="K12" s="97" t="s">
        <v>46</v>
      </c>
      <c r="L12" s="97" t="s">
        <v>47</v>
      </c>
      <c r="M12" s="97" t="s">
        <v>48</v>
      </c>
      <c r="N12" s="97" t="s">
        <v>49</v>
      </c>
      <c r="O12" s="97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49">
        <v>20000000</v>
      </c>
      <c r="D13" s="98">
        <v>20000000</v>
      </c>
      <c r="E13" s="98">
        <v>20000000</v>
      </c>
      <c r="F13" s="98">
        <v>20000000</v>
      </c>
      <c r="G13" s="98">
        <v>20000000</v>
      </c>
      <c r="H13" s="98">
        <v>20000000</v>
      </c>
      <c r="I13" s="98">
        <v>20000000</v>
      </c>
      <c r="J13" s="98">
        <v>20000000</v>
      </c>
      <c r="K13" s="98">
        <v>20000000</v>
      </c>
      <c r="L13" s="98">
        <v>20000000</v>
      </c>
      <c r="M13" s="98">
        <v>20000000</v>
      </c>
      <c r="N13" s="98">
        <v>20000000</v>
      </c>
      <c r="O13" s="98">
        <f>SUM(C13:N13)</f>
        <v>240000000</v>
      </c>
      <c r="P13" s="123">
        <f>Q13</f>
        <v>240000000</v>
      </c>
      <c r="Q13" s="123">
        <f>F13*12</f>
        <v>240000000</v>
      </c>
    </row>
    <row r="14" spans="1:17" ht="20.100000000000001" customHeight="1" x14ac:dyDescent="0.25">
      <c r="A14" s="30">
        <v>2</v>
      </c>
      <c r="B14" s="31" t="s">
        <v>10</v>
      </c>
      <c r="C14" s="99">
        <v>0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/>
      <c r="P14" s="123">
        <v>0</v>
      </c>
      <c r="Q14" s="110">
        <v>0</v>
      </c>
    </row>
    <row r="15" spans="1:17" ht="20.100000000000001" customHeight="1" x14ac:dyDescent="0.25">
      <c r="A15" s="30">
        <v>3</v>
      </c>
      <c r="B15" s="31" t="s">
        <v>11</v>
      </c>
      <c r="C15" s="99">
        <v>0</v>
      </c>
      <c r="D15" s="98">
        <v>0</v>
      </c>
      <c r="E15" s="166">
        <v>0</v>
      </c>
      <c r="F15" s="98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8">
        <v>0</v>
      </c>
      <c r="N15" s="98">
        <v>0</v>
      </c>
      <c r="O15" s="98">
        <f>SUM(C15:N15)</f>
        <v>0</v>
      </c>
      <c r="P15" s="123">
        <v>0</v>
      </c>
      <c r="Q15" s="110">
        <v>0</v>
      </c>
    </row>
    <row r="16" spans="1:17" ht="20.100000000000001" customHeight="1" x14ac:dyDescent="0.25">
      <c r="A16" s="30">
        <v>4</v>
      </c>
      <c r="B16" s="31" t="s">
        <v>12</v>
      </c>
      <c r="C16" s="99"/>
      <c r="D16" s="98"/>
      <c r="E16" s="164">
        <v>6030000</v>
      </c>
      <c r="F16" s="98"/>
      <c r="G16" s="98"/>
      <c r="H16" s="98"/>
      <c r="I16" s="98"/>
      <c r="J16" s="98"/>
      <c r="K16" s="98"/>
      <c r="L16" s="98"/>
      <c r="M16" s="98"/>
      <c r="N16" s="98"/>
      <c r="O16" s="98">
        <f>SUM(C16:N16)</f>
        <v>6030000</v>
      </c>
      <c r="P16" s="123">
        <v>0</v>
      </c>
      <c r="Q16" s="110">
        <v>0</v>
      </c>
    </row>
    <row r="17" spans="1:22" ht="20.100000000000001" customHeight="1" x14ac:dyDescent="0.25">
      <c r="A17" s="30">
        <v>5</v>
      </c>
      <c r="B17" s="31" t="s">
        <v>13</v>
      </c>
      <c r="C17" s="99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>
        <f>SUM(C17:N17)</f>
        <v>0</v>
      </c>
      <c r="P17" s="123">
        <v>0</v>
      </c>
      <c r="Q17" s="110">
        <v>0</v>
      </c>
    </row>
    <row r="18" spans="1:22" s="2" customFormat="1" ht="30" x14ac:dyDescent="0.25">
      <c r="A18" s="34">
        <v>6</v>
      </c>
      <c r="B18" s="35" t="s">
        <v>14</v>
      </c>
      <c r="C18" s="99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124"/>
      <c r="P18" s="123">
        <v>0</v>
      </c>
      <c r="Q18" s="125">
        <v>0</v>
      </c>
    </row>
    <row r="19" spans="1:22" ht="20.100000000000001" customHeight="1" x14ac:dyDescent="0.25">
      <c r="A19" s="30">
        <v>7</v>
      </c>
      <c r="B19" s="31" t="s">
        <v>15</v>
      </c>
      <c r="C19" s="100">
        <f t="shared" ref="C19:N19" si="1">SUM(C13:C18)</f>
        <v>20000000</v>
      </c>
      <c r="D19" s="100">
        <f t="shared" si="1"/>
        <v>20000000</v>
      </c>
      <c r="E19" s="100">
        <f t="shared" si="1"/>
        <v>26030000</v>
      </c>
      <c r="F19" s="100">
        <f t="shared" si="1"/>
        <v>20000000</v>
      </c>
      <c r="G19" s="100">
        <f t="shared" si="1"/>
        <v>20000000</v>
      </c>
      <c r="H19" s="100">
        <f t="shared" si="1"/>
        <v>20000000</v>
      </c>
      <c r="I19" s="100">
        <f t="shared" si="1"/>
        <v>20000000</v>
      </c>
      <c r="J19" s="100">
        <f t="shared" si="1"/>
        <v>20000000</v>
      </c>
      <c r="K19" s="100">
        <f t="shared" si="1"/>
        <v>20000000</v>
      </c>
      <c r="L19" s="100">
        <f t="shared" si="1"/>
        <v>20000000</v>
      </c>
      <c r="M19" s="100">
        <f t="shared" si="1"/>
        <v>20000000</v>
      </c>
      <c r="N19" s="100">
        <f t="shared" si="1"/>
        <v>20000000</v>
      </c>
      <c r="O19" s="101">
        <f>SUM(O13:O18)</f>
        <v>246030000</v>
      </c>
      <c r="P19" s="103">
        <f>SUM(P13:P18)</f>
        <v>240000000</v>
      </c>
      <c r="Q19" s="103">
        <f>SUM(Q13:Q18)</f>
        <v>240000000</v>
      </c>
    </row>
    <row r="20" spans="1:22" ht="20.100000000000001" customHeight="1" x14ac:dyDescent="0.25">
      <c r="A20" s="30">
        <v>8</v>
      </c>
      <c r="B20" s="31" t="s">
        <v>16</v>
      </c>
      <c r="C20" s="99"/>
      <c r="D20" s="99"/>
      <c r="E20" s="99"/>
      <c r="F20" s="99"/>
      <c r="G20" s="99"/>
      <c r="H20" s="99"/>
      <c r="I20" s="99"/>
      <c r="J20" s="99"/>
      <c r="K20" s="102"/>
      <c r="L20" s="102"/>
      <c r="M20" s="102"/>
      <c r="N20" s="102"/>
      <c r="O20" s="98">
        <v>15000000</v>
      </c>
      <c r="P20" s="110">
        <v>15000000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20000000</v>
      </c>
      <c r="D21" s="259">
        <f t="shared" ref="D21:N21" si="2">D19+D20</f>
        <v>20000000</v>
      </c>
      <c r="E21" s="259">
        <f t="shared" si="2"/>
        <v>26030000</v>
      </c>
      <c r="F21" s="259">
        <f t="shared" si="2"/>
        <v>20000000</v>
      </c>
      <c r="G21" s="259">
        <f>G19+G20</f>
        <v>20000000</v>
      </c>
      <c r="H21" s="259">
        <f t="shared" si="2"/>
        <v>20000000</v>
      </c>
      <c r="I21" s="259">
        <f t="shared" si="2"/>
        <v>20000000</v>
      </c>
      <c r="J21" s="259">
        <f t="shared" si="2"/>
        <v>20000000</v>
      </c>
      <c r="K21" s="259">
        <f t="shared" si="2"/>
        <v>20000000</v>
      </c>
      <c r="L21" s="259">
        <f t="shared" si="2"/>
        <v>20000000</v>
      </c>
      <c r="M21" s="259">
        <f t="shared" si="2"/>
        <v>20000000</v>
      </c>
      <c r="N21" s="259">
        <f t="shared" si="2"/>
        <v>20000000</v>
      </c>
      <c r="O21" s="259">
        <f>O19+O20</f>
        <v>261030000</v>
      </c>
      <c r="P21" s="103">
        <f>P19+P20</f>
        <v>255000000</v>
      </c>
      <c r="Q21" s="103">
        <f>Q19+Q20</f>
        <v>240000000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500000</v>
      </c>
      <c r="D23" s="257">
        <f t="shared" ref="D23:N23" si="3">IF(D21*5%&lt;500000,D21*5%,500000)</f>
        <v>500000</v>
      </c>
      <c r="E23" s="257">
        <f t="shared" si="3"/>
        <v>500000</v>
      </c>
      <c r="F23" s="257">
        <f t="shared" si="3"/>
        <v>500000</v>
      </c>
      <c r="G23" s="257">
        <f>IF(G21*5%&lt;500000,G21*5%,500000)</f>
        <v>500000</v>
      </c>
      <c r="H23" s="257">
        <f t="shared" si="3"/>
        <v>500000</v>
      </c>
      <c r="I23" s="257">
        <f t="shared" si="3"/>
        <v>500000</v>
      </c>
      <c r="J23" s="257">
        <f t="shared" si="3"/>
        <v>500000</v>
      </c>
      <c r="K23" s="257">
        <f t="shared" si="3"/>
        <v>500000</v>
      </c>
      <c r="L23" s="257">
        <f t="shared" si="3"/>
        <v>500000</v>
      </c>
      <c r="M23" s="257">
        <f t="shared" si="3"/>
        <v>500000</v>
      </c>
      <c r="N23" s="257">
        <f t="shared" si="3"/>
        <v>500000</v>
      </c>
      <c r="O23" s="258">
        <f>SUM(C23:N23)</f>
        <v>6000000</v>
      </c>
      <c r="P23" s="110">
        <f>IF(P21*5%&lt;6000000,P21*5%,6000000)</f>
        <v>6000000</v>
      </c>
      <c r="Q23" s="110">
        <f>IF(Q21*5%&lt;6000000,Q21*5%,6000000)</f>
        <v>6000000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4">SUM(C23:C25)</f>
        <v>500000</v>
      </c>
      <c r="D26" s="257">
        <f t="shared" si="4"/>
        <v>500000</v>
      </c>
      <c r="E26" s="257">
        <f t="shared" si="4"/>
        <v>500000</v>
      </c>
      <c r="F26" s="257">
        <f t="shared" si="4"/>
        <v>500000</v>
      </c>
      <c r="G26" s="257">
        <f>SUM(G23:G25)</f>
        <v>500000</v>
      </c>
      <c r="H26" s="257">
        <f t="shared" si="4"/>
        <v>500000</v>
      </c>
      <c r="I26" s="257">
        <f t="shared" si="4"/>
        <v>500000</v>
      </c>
      <c r="J26" s="257">
        <f t="shared" si="4"/>
        <v>500000</v>
      </c>
      <c r="K26" s="257">
        <f t="shared" si="4"/>
        <v>500000</v>
      </c>
      <c r="L26" s="257">
        <f t="shared" si="4"/>
        <v>500000</v>
      </c>
      <c r="M26" s="257">
        <f t="shared" si="4"/>
        <v>500000</v>
      </c>
      <c r="N26" s="257">
        <f t="shared" si="4"/>
        <v>500000</v>
      </c>
      <c r="O26" s="263">
        <f>SUM(O22:O25)</f>
        <v>6000000</v>
      </c>
      <c r="P26" s="103">
        <f>SUM(P23:P25)</f>
        <v>6000000</v>
      </c>
      <c r="Q26" s="103">
        <f>SUM(Q23:Q25)</f>
        <v>6000000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19500000</v>
      </c>
      <c r="D28" s="255">
        <f t="shared" ref="D28:O28" si="5">D21-D26</f>
        <v>19500000</v>
      </c>
      <c r="E28" s="255">
        <f t="shared" si="5"/>
        <v>25530000</v>
      </c>
      <c r="F28" s="255">
        <f t="shared" si="5"/>
        <v>19500000</v>
      </c>
      <c r="G28" s="255">
        <f>G21-G26</f>
        <v>19500000</v>
      </c>
      <c r="H28" s="255">
        <f t="shared" si="5"/>
        <v>19500000</v>
      </c>
      <c r="I28" s="255">
        <f t="shared" si="5"/>
        <v>19500000</v>
      </c>
      <c r="J28" s="255">
        <f t="shared" si="5"/>
        <v>19500000</v>
      </c>
      <c r="K28" s="255">
        <f t="shared" si="5"/>
        <v>19500000</v>
      </c>
      <c r="L28" s="255">
        <f t="shared" si="5"/>
        <v>19500000</v>
      </c>
      <c r="M28" s="255">
        <f t="shared" si="5"/>
        <v>19500000</v>
      </c>
      <c r="N28" s="255">
        <f t="shared" si="5"/>
        <v>19500000</v>
      </c>
      <c r="O28" s="255">
        <f t="shared" si="5"/>
        <v>255030000</v>
      </c>
      <c r="P28" s="103">
        <f>P21-P26</f>
        <v>249000000</v>
      </c>
      <c r="Q28" s="103">
        <f>Q21-Q26</f>
        <v>234000000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234000000</v>
      </c>
      <c r="D30" s="253">
        <f>SUM(C28:D28)*D10/D11</f>
        <v>234000000</v>
      </c>
      <c r="E30" s="253">
        <f>SUM(C28:E28)*E10/E11</f>
        <v>258120000</v>
      </c>
      <c r="F30" s="253">
        <f>SUM(C28:F28)*F10/F11</f>
        <v>252090000</v>
      </c>
      <c r="G30" s="253">
        <f>SUM(C28:G28)*G10/G11</f>
        <v>248472000</v>
      </c>
      <c r="H30" s="253">
        <f>SUM(C28:H28)*H10/H11</f>
        <v>246060000</v>
      </c>
      <c r="I30" s="253">
        <f>SUM(C28:I28)*I10/I11</f>
        <v>244337142.85714287</v>
      </c>
      <c r="J30" s="253">
        <f>SUM(C28:J28)*J10/J11</f>
        <v>243045000</v>
      </c>
      <c r="K30" s="253">
        <f>SUM(C28:K28)*K10/K11</f>
        <v>242040000</v>
      </c>
      <c r="L30" s="253">
        <f>SUM(C28:L28)*L10/L11</f>
        <v>241236000</v>
      </c>
      <c r="M30" s="253">
        <f>SUM(C28:M28)*M10/M11</f>
        <v>240578181.81818181</v>
      </c>
      <c r="N30" s="253">
        <f>SUM(C28:N28)*N10/N11</f>
        <v>240030000</v>
      </c>
      <c r="O30" s="254">
        <f>O28</f>
        <v>255030000</v>
      </c>
      <c r="P30" s="108">
        <f>P28</f>
        <v>249000000</v>
      </c>
      <c r="Q30" s="108">
        <f>Q28</f>
        <v>234000000</v>
      </c>
      <c r="R30" s="21"/>
      <c r="S30" s="21"/>
      <c r="T30" s="21"/>
      <c r="U30" s="21"/>
      <c r="V30" s="21"/>
    </row>
    <row r="31" spans="1:22" s="134" customFormat="1" ht="20.100000000000001" customHeight="1" x14ac:dyDescent="0.25">
      <c r="A31" s="51">
        <v>17</v>
      </c>
      <c r="B31" s="52" t="s">
        <v>27</v>
      </c>
      <c r="C31" s="255">
        <f t="shared" ref="C31:O31" si="6">IF(C30&gt;0,VLOOKUP(C9,$B$47:$C$59,2,FALSE),0)</f>
        <v>72000000</v>
      </c>
      <c r="D31" s="255">
        <f t="shared" si="6"/>
        <v>72000000</v>
      </c>
      <c r="E31" s="255">
        <f t="shared" si="6"/>
        <v>72000000</v>
      </c>
      <c r="F31" s="255">
        <f t="shared" si="6"/>
        <v>72000000</v>
      </c>
      <c r="G31" s="255">
        <f>IF(G30&gt;0,VLOOKUP(G9,$B$47:$C$59,2,FALSE),0)</f>
        <v>72000000</v>
      </c>
      <c r="H31" s="255">
        <f t="shared" si="6"/>
        <v>72000000</v>
      </c>
      <c r="I31" s="255">
        <f t="shared" si="6"/>
        <v>72000000</v>
      </c>
      <c r="J31" s="255">
        <f t="shared" si="6"/>
        <v>72000000</v>
      </c>
      <c r="K31" s="255">
        <f t="shared" si="6"/>
        <v>72000000</v>
      </c>
      <c r="L31" s="255">
        <f t="shared" si="6"/>
        <v>72000000</v>
      </c>
      <c r="M31" s="255">
        <f t="shared" si="6"/>
        <v>72000000</v>
      </c>
      <c r="N31" s="255">
        <f t="shared" si="6"/>
        <v>72000000</v>
      </c>
      <c r="O31" s="255">
        <f t="shared" si="6"/>
        <v>72000000</v>
      </c>
      <c r="P31" s="103">
        <f>O31</f>
        <v>72000000</v>
      </c>
      <c r="Q31" s="103"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162000000</v>
      </c>
      <c r="D32" s="256">
        <f t="shared" ref="D32:O32" si="7">ROUNDDOWN(IF(D30&lt;=D31,0,IF(D30&gt;D31,D30-D31)),-3)</f>
        <v>162000000</v>
      </c>
      <c r="E32" s="256">
        <f t="shared" si="7"/>
        <v>186120000</v>
      </c>
      <c r="F32" s="256">
        <f t="shared" si="7"/>
        <v>180090000</v>
      </c>
      <c r="G32" s="256">
        <f t="shared" si="7"/>
        <v>176472000</v>
      </c>
      <c r="H32" s="256">
        <f t="shared" si="7"/>
        <v>174060000</v>
      </c>
      <c r="I32" s="256">
        <f>ROUNDDOWN(IF(I30&lt;=I31,0,IF(I30&gt;I31,I30-I31)),-3)</f>
        <v>172337000</v>
      </c>
      <c r="J32" s="256">
        <f t="shared" si="7"/>
        <v>171045000</v>
      </c>
      <c r="K32" s="256">
        <f t="shared" si="7"/>
        <v>170040000</v>
      </c>
      <c r="L32" s="256">
        <f t="shared" si="7"/>
        <v>169236000</v>
      </c>
      <c r="M32" s="256">
        <f t="shared" si="7"/>
        <v>168578000</v>
      </c>
      <c r="N32" s="256">
        <f t="shared" si="7"/>
        <v>168030000</v>
      </c>
      <c r="O32" s="256">
        <f t="shared" si="7"/>
        <v>183030000</v>
      </c>
      <c r="P32" s="103">
        <f t="shared" ref="P32:Q32" si="8">ROUNDDOWN(IF(P30&lt;=P31,0,IF(P30&gt;P31,P30-P31)),-3)</f>
        <v>177000000</v>
      </c>
      <c r="Q32" s="103">
        <f t="shared" si="8"/>
        <v>162000000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Q33" si="9">IF(C32&lt;0,0,IF(C32&lt;60000000,C32*5%,IF(C32&lt;250000000,(C32-60000000)*15%+3000000,IF(C32&lt;500000000,(C32-250000000)*25%+31500000,IF(C32&lt;5000000000,(C32-500000000)*30%+94000000,IF(C32&gt;5000000000,(C32-500000000)*35%+1444000000))))))</f>
        <v>18300000</v>
      </c>
      <c r="D33" s="257">
        <f t="shared" si="9"/>
        <v>18300000</v>
      </c>
      <c r="E33" s="257">
        <f t="shared" si="9"/>
        <v>21918000</v>
      </c>
      <c r="F33" s="257">
        <f t="shared" si="9"/>
        <v>21013500</v>
      </c>
      <c r="G33" s="257">
        <f t="shared" si="9"/>
        <v>20470800</v>
      </c>
      <c r="H33" s="257">
        <f t="shared" si="9"/>
        <v>20109000</v>
      </c>
      <c r="I33" s="257">
        <f t="shared" si="9"/>
        <v>19850550</v>
      </c>
      <c r="J33" s="257">
        <f t="shared" si="9"/>
        <v>19656750</v>
      </c>
      <c r="K33" s="257">
        <f t="shared" si="9"/>
        <v>19506000</v>
      </c>
      <c r="L33" s="257">
        <f t="shared" si="9"/>
        <v>19385400</v>
      </c>
      <c r="M33" s="257">
        <f t="shared" si="9"/>
        <v>19286700</v>
      </c>
      <c r="N33" s="257">
        <f t="shared" si="9"/>
        <v>19204500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21454500</v>
      </c>
      <c r="P33" s="255">
        <f t="shared" si="9"/>
        <v>20550000</v>
      </c>
      <c r="Q33" s="255">
        <f t="shared" si="9"/>
        <v>18300000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18300000</v>
      </c>
      <c r="D35" s="255">
        <f t="shared" ref="D35:M35" si="10">D33-D34</f>
        <v>18300000</v>
      </c>
      <c r="E35" s="255">
        <f t="shared" si="10"/>
        <v>21918000</v>
      </c>
      <c r="F35" s="255">
        <f t="shared" si="10"/>
        <v>21013500</v>
      </c>
      <c r="G35" s="255">
        <f t="shared" si="10"/>
        <v>20470800</v>
      </c>
      <c r="H35" s="255">
        <f t="shared" si="10"/>
        <v>20109000</v>
      </c>
      <c r="I35" s="255">
        <f t="shared" si="10"/>
        <v>19850550</v>
      </c>
      <c r="J35" s="255">
        <f t="shared" si="10"/>
        <v>19656750</v>
      </c>
      <c r="K35" s="255">
        <f t="shared" si="10"/>
        <v>19506000</v>
      </c>
      <c r="L35" s="255">
        <f t="shared" si="10"/>
        <v>19385400</v>
      </c>
      <c r="M35" s="255">
        <f t="shared" si="10"/>
        <v>19286700</v>
      </c>
      <c r="N35" s="255">
        <f>N33-N34</f>
        <v>19204500</v>
      </c>
      <c r="O35" s="255">
        <f>O33</f>
        <v>21454500</v>
      </c>
      <c r="P35" s="103">
        <f>P33+P34</f>
        <v>20550000</v>
      </c>
      <c r="Q35" s="103">
        <f>Q33+Q34</f>
        <v>18300000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</f>
        <v>1525000</v>
      </c>
      <c r="D36" s="264">
        <f>(D35/D10*D11-SUM(C36))</f>
        <v>1525000</v>
      </c>
      <c r="E36" s="264">
        <f>(E35/E10*E11-SUM(C36:D36))</f>
        <v>2429500</v>
      </c>
      <c r="F36" s="264">
        <f>(F35/F10*F11-SUM(C36:E36))</f>
        <v>1525000</v>
      </c>
      <c r="G36" s="264">
        <f>(G35/G10*G11-SUM(C36:F36))</f>
        <v>1525000</v>
      </c>
      <c r="H36" s="264">
        <f>(H35/H10*H11-SUM(C36:G36))</f>
        <v>1525000</v>
      </c>
      <c r="I36" s="264">
        <f>(I35/I10*I11-SUM(C36:H36))</f>
        <v>1524987.5</v>
      </c>
      <c r="J36" s="264">
        <f>(J35/J10*J11-SUM(C36:I36))</f>
        <v>1525012.5</v>
      </c>
      <c r="K36" s="264">
        <f>(K35/K10*K11-SUM(C36:J36))</f>
        <v>1525000</v>
      </c>
      <c r="L36" s="264">
        <f>(L35/L10*L11-SUM(C36:K36))</f>
        <v>1525000</v>
      </c>
      <c r="M36" s="264">
        <f>(M35/M10*M11-SUM(C36:L36))</f>
        <v>1524975</v>
      </c>
      <c r="N36" s="264">
        <f>(N35/N10*N11-SUM(C36:M36))</f>
        <v>1525025</v>
      </c>
      <c r="O36" s="259">
        <f>SUM(C36:N36)+P37</f>
        <v>21454500</v>
      </c>
      <c r="P36" s="108">
        <f>P35/12</f>
        <v>1712500</v>
      </c>
      <c r="Q36" s="108">
        <f>Q35/12</f>
        <v>1525000</v>
      </c>
    </row>
    <row r="37" spans="1:22" s="60" customFormat="1" ht="20.100000000000001" customHeight="1" x14ac:dyDescent="0.25">
      <c r="A37" s="57"/>
      <c r="B37" s="58" t="s">
        <v>81</v>
      </c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9" t="s">
        <v>82</v>
      </c>
      <c r="P37" s="129">
        <f>P35-Q35</f>
        <v>2250000</v>
      </c>
      <c r="Q37" s="110">
        <v>0</v>
      </c>
    </row>
    <row r="38" spans="1:22" x14ac:dyDescent="0.25">
      <c r="A38" s="47"/>
      <c r="B38" s="31" t="s">
        <v>33</v>
      </c>
      <c r="C38" s="99"/>
      <c r="D38" s="99"/>
      <c r="E38" s="99"/>
      <c r="F38" s="99"/>
      <c r="G38" s="99"/>
      <c r="H38" s="99"/>
      <c r="I38" s="99"/>
      <c r="J38" s="99"/>
      <c r="K38" s="102"/>
      <c r="L38" s="102"/>
      <c r="M38" s="102"/>
      <c r="N38" s="111"/>
      <c r="O38" s="112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99"/>
      <c r="D39" s="99"/>
      <c r="E39" s="99"/>
      <c r="F39" s="99"/>
      <c r="G39" s="99"/>
      <c r="H39" s="99"/>
      <c r="I39" s="99"/>
      <c r="J39" s="99"/>
      <c r="K39" s="102"/>
      <c r="L39" s="102"/>
      <c r="M39" s="102"/>
      <c r="N39" s="111"/>
      <c r="O39" s="112"/>
      <c r="P39" s="132">
        <f>P37+Q36-P38</f>
        <v>3775000</v>
      </c>
      <c r="Q39" s="110"/>
    </row>
    <row r="40" spans="1:22" ht="20.100000000000001" customHeight="1" x14ac:dyDescent="0.25">
      <c r="A40" s="47"/>
      <c r="B40" s="31" t="s">
        <v>76</v>
      </c>
      <c r="C40" s="99"/>
      <c r="D40" s="99"/>
      <c r="E40" s="99"/>
      <c r="F40" s="99"/>
      <c r="G40" s="99"/>
      <c r="H40" s="99"/>
      <c r="I40" s="99"/>
      <c r="J40" s="99"/>
      <c r="K40" s="102"/>
      <c r="L40" s="102"/>
      <c r="M40" s="102"/>
      <c r="N40" s="111"/>
      <c r="O40" s="112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113">
        <f t="shared" ref="C41:J41" si="11">C21-C25-C36</f>
        <v>18475000</v>
      </c>
      <c r="D41" s="113">
        <f t="shared" si="11"/>
        <v>18475000</v>
      </c>
      <c r="E41" s="113">
        <f t="shared" si="11"/>
        <v>23600500</v>
      </c>
      <c r="F41" s="113">
        <f t="shared" si="11"/>
        <v>18475000</v>
      </c>
      <c r="G41" s="113">
        <f t="shared" si="11"/>
        <v>18475000</v>
      </c>
      <c r="H41" s="113">
        <f t="shared" si="11"/>
        <v>18475000</v>
      </c>
      <c r="I41" s="113">
        <f t="shared" si="11"/>
        <v>18475012.5</v>
      </c>
      <c r="J41" s="113">
        <f t="shared" si="11"/>
        <v>18474987.5</v>
      </c>
      <c r="K41" s="113">
        <f>K21-K25-K36</f>
        <v>18475000</v>
      </c>
      <c r="L41" s="113">
        <f>L21-L25-L36</f>
        <v>18475000</v>
      </c>
      <c r="M41" s="113">
        <f>M21-M25-M36</f>
        <v>18475025</v>
      </c>
      <c r="N41" s="113">
        <f>N21-N25-N36</f>
        <v>18474975</v>
      </c>
      <c r="O41" s="113">
        <f>O21-O25-O36-O38</f>
        <v>239575500</v>
      </c>
      <c r="P41" s="126">
        <f>P21-P25-P36</f>
        <v>253287500</v>
      </c>
      <c r="Q41" s="126">
        <f>Q21-Q25-Q36</f>
        <v>238475000</v>
      </c>
    </row>
    <row r="42" spans="1:22" x14ac:dyDescent="0.25">
      <c r="C42" s="18"/>
      <c r="D42" s="18"/>
      <c r="E42" s="18"/>
      <c r="F42" s="18"/>
      <c r="G42" s="18"/>
      <c r="H42" s="18"/>
      <c r="I42" s="18"/>
      <c r="J42" s="18"/>
      <c r="K42" s="18"/>
      <c r="O42" s="18"/>
      <c r="P42" s="114"/>
      <c r="Q42" s="114"/>
    </row>
    <row r="43" spans="1:22" x14ac:dyDescent="0.25">
      <c r="C43" s="18"/>
      <c r="D43" s="18"/>
      <c r="E43" s="18"/>
      <c r="F43" s="18"/>
      <c r="G43" s="18"/>
      <c r="H43" s="18"/>
      <c r="I43" s="18"/>
      <c r="J43" s="18"/>
      <c r="K43" s="18"/>
      <c r="O43" s="18"/>
      <c r="P43" s="114"/>
      <c r="Q43" s="114"/>
    </row>
    <row r="44" spans="1:22" x14ac:dyDescent="0.25">
      <c r="C44" s="18"/>
      <c r="D44" s="18"/>
      <c r="E44" s="18"/>
      <c r="F44" s="18"/>
      <c r="G44" s="18"/>
      <c r="H44" s="18"/>
      <c r="I44" s="18"/>
      <c r="J44" s="18"/>
      <c r="K44" s="18"/>
      <c r="O44" s="18"/>
      <c r="P44" s="114"/>
      <c r="Q44" s="114"/>
    </row>
    <row r="45" spans="1:22" x14ac:dyDescent="0.25">
      <c r="C45" s="18"/>
      <c r="D45" s="18"/>
      <c r="E45" s="18"/>
      <c r="F45" s="18"/>
      <c r="G45" s="18"/>
      <c r="H45" s="18"/>
      <c r="I45" s="18"/>
      <c r="J45" s="18"/>
      <c r="K45" s="18"/>
      <c r="O45" s="18"/>
      <c r="P45" s="114"/>
      <c r="Q45" s="114"/>
    </row>
    <row r="46" spans="1:22" x14ac:dyDescent="0.25">
      <c r="C46" s="18"/>
      <c r="D46" s="18"/>
      <c r="E46" s="18"/>
      <c r="F46" s="18"/>
      <c r="G46" s="18"/>
      <c r="H46" s="18"/>
      <c r="I46" s="18"/>
      <c r="J46" s="18"/>
      <c r="K46" s="18"/>
      <c r="O46" s="18"/>
      <c r="P46" s="114"/>
      <c r="Q46" s="114"/>
    </row>
    <row r="47" spans="1:22" s="62" customFormat="1" x14ac:dyDescent="0.25">
      <c r="B47" s="63" t="s">
        <v>65</v>
      </c>
      <c r="C47" s="115" t="s">
        <v>66</v>
      </c>
      <c r="D47" s="116"/>
      <c r="E47" s="116"/>
      <c r="F47" s="116"/>
      <c r="G47" s="116"/>
      <c r="H47" s="116"/>
      <c r="I47" s="116"/>
      <c r="J47" s="116"/>
      <c r="K47" s="116"/>
      <c r="L47" s="117"/>
      <c r="M47" s="117"/>
      <c r="N47" s="117"/>
      <c r="O47" s="116"/>
      <c r="P47" s="118"/>
      <c r="Q47" s="118"/>
    </row>
    <row r="48" spans="1:22" x14ac:dyDescent="0.25">
      <c r="B48" s="8" t="s">
        <v>67</v>
      </c>
      <c r="C48" s="127">
        <v>54000000</v>
      </c>
    </row>
    <row r="49" spans="2:17" x14ac:dyDescent="0.25">
      <c r="B49" s="8" t="s">
        <v>93</v>
      </c>
      <c r="C49" s="127">
        <v>58500000</v>
      </c>
    </row>
    <row r="50" spans="2:17" x14ac:dyDescent="0.25">
      <c r="B50" s="8" t="s">
        <v>94</v>
      </c>
      <c r="C50" s="127">
        <v>63000000</v>
      </c>
    </row>
    <row r="51" spans="2:17" x14ac:dyDescent="0.25">
      <c r="B51" s="8" t="s">
        <v>95</v>
      </c>
      <c r="C51" s="127">
        <v>67500000</v>
      </c>
    </row>
    <row r="52" spans="2:17" x14ac:dyDescent="0.25">
      <c r="B52" s="8" t="s">
        <v>68</v>
      </c>
      <c r="C52" s="127">
        <v>58500000</v>
      </c>
    </row>
    <row r="53" spans="2:17" x14ac:dyDescent="0.25">
      <c r="B53" s="8" t="s">
        <v>69</v>
      </c>
      <c r="C53" s="127">
        <v>63000000</v>
      </c>
    </row>
    <row r="54" spans="2:17" x14ac:dyDescent="0.25">
      <c r="B54" s="8" t="s">
        <v>50</v>
      </c>
      <c r="C54" s="127">
        <v>67500000</v>
      </c>
    </row>
    <row r="55" spans="2:17" x14ac:dyDescent="0.25">
      <c r="B55" s="8" t="s">
        <v>64</v>
      </c>
      <c r="C55" s="127">
        <v>72000000</v>
      </c>
    </row>
    <row r="56" spans="2:17" x14ac:dyDescent="0.25">
      <c r="B56" s="8" t="s">
        <v>96</v>
      </c>
      <c r="C56" s="127">
        <v>112500000</v>
      </c>
    </row>
    <row r="57" spans="2:17" x14ac:dyDescent="0.25">
      <c r="B57" s="8" t="s">
        <v>97</v>
      </c>
      <c r="C57" s="127">
        <v>117000000</v>
      </c>
    </row>
    <row r="58" spans="2:17" x14ac:dyDescent="0.25">
      <c r="B58" s="8" t="s">
        <v>98</v>
      </c>
      <c r="C58" s="127">
        <v>121500000</v>
      </c>
    </row>
    <row r="59" spans="2:17" x14ac:dyDescent="0.25">
      <c r="B59" s="8" t="s">
        <v>99</v>
      </c>
      <c r="C59" s="127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4:P18 D14:N18 P13:Q13 C13:N13" xr:uid="{00000000-0002-0000-0600-000000000000}"/>
  </dataValidations>
  <pageMargins left="0.7" right="0.7" top="0.75" bottom="0.75" header="0.3" footer="0.3"/>
  <pageSetup paperSize="9" orientation="portrait" horizontalDpi="360" verticalDpi="36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51"/>
  <dimension ref="A1:V59"/>
  <sheetViews>
    <sheetView topLeftCell="E1" zoomScale="55" workbookViewId="0">
      <selection activeCell="O20" sqref="O20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451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92">
        <v>1500000</v>
      </c>
      <c r="D13" s="92">
        <v>1500000</v>
      </c>
      <c r="E13" s="162">
        <v>1500000</v>
      </c>
      <c r="F13" s="162">
        <v>1500000</v>
      </c>
      <c r="G13" s="92">
        <v>1500000</v>
      </c>
      <c r="H13" s="92">
        <v>1500000</v>
      </c>
      <c r="I13" s="92">
        <v>1500000</v>
      </c>
      <c r="J13" s="92">
        <v>1500000</v>
      </c>
      <c r="K13" s="92">
        <v>1500000</v>
      </c>
      <c r="L13" s="92">
        <v>1500000</v>
      </c>
      <c r="M13" s="92">
        <v>1500000</v>
      </c>
      <c r="N13" s="92">
        <v>1500000</v>
      </c>
      <c r="O13" s="32">
        <f>SUM(C13:N13)</f>
        <v>18000000</v>
      </c>
      <c r="P13" s="123">
        <f t="shared" ref="P13:P18" si="1">Q13</f>
        <v>18000000</v>
      </c>
      <c r="Q13" s="123">
        <f>F13*12</f>
        <v>18000000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1500000</v>
      </c>
      <c r="D19" s="37">
        <f t="shared" si="3"/>
        <v>1500000</v>
      </c>
      <c r="E19" s="37">
        <f t="shared" si="3"/>
        <v>1500000</v>
      </c>
      <c r="F19" s="37">
        <f t="shared" si="3"/>
        <v>1500000</v>
      </c>
      <c r="G19" s="37">
        <f t="shared" si="3"/>
        <v>1500000</v>
      </c>
      <c r="H19" s="37">
        <f t="shared" si="3"/>
        <v>1500000</v>
      </c>
      <c r="I19" s="37">
        <f t="shared" si="3"/>
        <v>1500000</v>
      </c>
      <c r="J19" s="37">
        <f t="shared" si="3"/>
        <v>1500000</v>
      </c>
      <c r="K19" s="37">
        <f t="shared" si="3"/>
        <v>1500000</v>
      </c>
      <c r="L19" s="37">
        <f t="shared" si="3"/>
        <v>1500000</v>
      </c>
      <c r="M19" s="37">
        <f t="shared" si="3"/>
        <v>1500000</v>
      </c>
      <c r="N19" s="37">
        <f t="shared" si="3"/>
        <v>1500000</v>
      </c>
      <c r="O19" s="38">
        <f>SUM(O13:O18)</f>
        <v>18000000</v>
      </c>
      <c r="P19" s="103">
        <f>SUM(P13:P18)</f>
        <v>18000000</v>
      </c>
      <c r="Q19" s="103">
        <f>SUM(Q13:Q18)</f>
        <v>18000000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1500000</v>
      </c>
      <c r="P20" s="110">
        <v>1500000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1500000</v>
      </c>
      <c r="D21" s="259">
        <f t="shared" ref="D21:N21" si="4">D19+D20</f>
        <v>1500000</v>
      </c>
      <c r="E21" s="259">
        <f t="shared" si="4"/>
        <v>1500000</v>
      </c>
      <c r="F21" s="259">
        <f t="shared" si="4"/>
        <v>1500000</v>
      </c>
      <c r="G21" s="259">
        <f>G19+G20</f>
        <v>1500000</v>
      </c>
      <c r="H21" s="259">
        <f t="shared" si="4"/>
        <v>1500000</v>
      </c>
      <c r="I21" s="259">
        <f t="shared" si="4"/>
        <v>1500000</v>
      </c>
      <c r="J21" s="259">
        <f t="shared" si="4"/>
        <v>1500000</v>
      </c>
      <c r="K21" s="259">
        <f t="shared" si="4"/>
        <v>1500000</v>
      </c>
      <c r="L21" s="259">
        <f t="shared" si="4"/>
        <v>1500000</v>
      </c>
      <c r="M21" s="259">
        <f t="shared" si="4"/>
        <v>1500000</v>
      </c>
      <c r="N21" s="259">
        <f t="shared" si="4"/>
        <v>1500000</v>
      </c>
      <c r="O21" s="259">
        <f>O19+O20</f>
        <v>19500000</v>
      </c>
      <c r="P21" s="103">
        <f>P19+P20</f>
        <v>19500000</v>
      </c>
      <c r="Q21" s="103">
        <f>Q19+Q20</f>
        <v>18000000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75000</v>
      </c>
      <c r="D23" s="257">
        <f t="shared" ref="D23:O23" si="5">IF(D21*5%&lt;500000,D21*5%,500000)</f>
        <v>75000</v>
      </c>
      <c r="E23" s="257">
        <f t="shared" si="5"/>
        <v>75000</v>
      </c>
      <c r="F23" s="257">
        <f t="shared" si="5"/>
        <v>75000</v>
      </c>
      <c r="G23" s="257">
        <f>IF(G21*5%&lt;500000,G21*5%,500000)</f>
        <v>75000</v>
      </c>
      <c r="H23" s="257">
        <f t="shared" si="5"/>
        <v>75000</v>
      </c>
      <c r="I23" s="257">
        <f t="shared" si="5"/>
        <v>75000</v>
      </c>
      <c r="J23" s="257">
        <f t="shared" si="5"/>
        <v>75000</v>
      </c>
      <c r="K23" s="257">
        <f t="shared" si="5"/>
        <v>75000</v>
      </c>
      <c r="L23" s="257">
        <f t="shared" si="5"/>
        <v>75000</v>
      </c>
      <c r="M23" s="257">
        <f t="shared" si="5"/>
        <v>75000</v>
      </c>
      <c r="N23" s="257">
        <f t="shared" si="5"/>
        <v>75000</v>
      </c>
      <c r="O23" s="257">
        <f>IF(O21*5%&lt;6000000,O21*5%,6000000)</f>
        <v>975000</v>
      </c>
      <c r="P23" s="110">
        <f>IF(P21*5%&lt;6000000,P21*5%,6000000)</f>
        <v>975000</v>
      </c>
      <c r="Q23" s="110">
        <f>IF(Q21*5%&lt;6000000,Q21*5%,6000000)</f>
        <v>900000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75000</v>
      </c>
      <c r="D26" s="257">
        <f t="shared" si="6"/>
        <v>75000</v>
      </c>
      <c r="E26" s="257">
        <f t="shared" si="6"/>
        <v>75000</v>
      </c>
      <c r="F26" s="257">
        <f t="shared" si="6"/>
        <v>75000</v>
      </c>
      <c r="G26" s="257">
        <f>SUM(G23:G25)</f>
        <v>75000</v>
      </c>
      <c r="H26" s="257">
        <f t="shared" si="6"/>
        <v>75000</v>
      </c>
      <c r="I26" s="257">
        <f t="shared" si="6"/>
        <v>75000</v>
      </c>
      <c r="J26" s="257">
        <f t="shared" si="6"/>
        <v>75000</v>
      </c>
      <c r="K26" s="257">
        <f t="shared" si="6"/>
        <v>75000</v>
      </c>
      <c r="L26" s="257">
        <f t="shared" si="6"/>
        <v>75000</v>
      </c>
      <c r="M26" s="257">
        <f t="shared" si="6"/>
        <v>75000</v>
      </c>
      <c r="N26" s="257">
        <f t="shared" si="6"/>
        <v>75000</v>
      </c>
      <c r="O26" s="263">
        <f>SUM(O22:O25)</f>
        <v>975000</v>
      </c>
      <c r="P26" s="103">
        <f>SUM(P23:P25)</f>
        <v>975000</v>
      </c>
      <c r="Q26" s="103">
        <f>SUM(Q23:Q25)</f>
        <v>900000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1425000</v>
      </c>
      <c r="D28" s="255">
        <f t="shared" ref="D28:O28" si="7">D21-D26</f>
        <v>1425000</v>
      </c>
      <c r="E28" s="255">
        <f t="shared" si="7"/>
        <v>1425000</v>
      </c>
      <c r="F28" s="255">
        <f t="shared" si="7"/>
        <v>1425000</v>
      </c>
      <c r="G28" s="255">
        <f>G21-G26</f>
        <v>1425000</v>
      </c>
      <c r="H28" s="255">
        <f t="shared" si="7"/>
        <v>1425000</v>
      </c>
      <c r="I28" s="255">
        <f t="shared" si="7"/>
        <v>1425000</v>
      </c>
      <c r="J28" s="255">
        <f t="shared" si="7"/>
        <v>1425000</v>
      </c>
      <c r="K28" s="255">
        <f t="shared" si="7"/>
        <v>1425000</v>
      </c>
      <c r="L28" s="255">
        <f t="shared" si="7"/>
        <v>1425000</v>
      </c>
      <c r="M28" s="255">
        <f t="shared" si="7"/>
        <v>1425000</v>
      </c>
      <c r="N28" s="255">
        <f t="shared" si="7"/>
        <v>1425000</v>
      </c>
      <c r="O28" s="255">
        <f t="shared" si="7"/>
        <v>18525000</v>
      </c>
      <c r="P28" s="103">
        <f>P21-P26</f>
        <v>18525000</v>
      </c>
      <c r="Q28" s="103">
        <f>Q21-Q26</f>
        <v>17100000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17100000</v>
      </c>
      <c r="D30" s="253">
        <f>SUM(C28:D28)*D10/D11</f>
        <v>17100000</v>
      </c>
      <c r="E30" s="253">
        <f>SUM(C28:E28)*E10/E11</f>
        <v>17100000</v>
      </c>
      <c r="F30" s="253">
        <f>SUM(C28:F28)*F10/F11</f>
        <v>17100000</v>
      </c>
      <c r="G30" s="253">
        <f>SUM(C28:G28)*G10/G11</f>
        <v>17100000</v>
      </c>
      <c r="H30" s="253">
        <f>SUM(C28:H28)*H10/H11</f>
        <v>17100000</v>
      </c>
      <c r="I30" s="253">
        <f>SUM(C28:I28)*I10/I11</f>
        <v>17100000</v>
      </c>
      <c r="J30" s="253">
        <f>SUM(C28:J28)*J10/J11</f>
        <v>17100000</v>
      </c>
      <c r="K30" s="253">
        <f>SUM(C28:K28)*K10/K11</f>
        <v>17100000</v>
      </c>
      <c r="L30" s="253">
        <f>SUM(C28:L28)*L10/L11</f>
        <v>17100000</v>
      </c>
      <c r="M30" s="253">
        <f>SUM(C28:M28)*M10/M11</f>
        <v>17100000</v>
      </c>
      <c r="N30" s="253">
        <f>SUM(C28:N28)*N10/N11</f>
        <v>17100000</v>
      </c>
      <c r="O30" s="254">
        <f>O28</f>
        <v>18525000</v>
      </c>
      <c r="P30" s="108">
        <f>P28</f>
        <v>18525000</v>
      </c>
      <c r="Q30" s="108">
        <f>Q28</f>
        <v>17100000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1500000</v>
      </c>
      <c r="D41" s="50">
        <f t="shared" si="14"/>
        <v>1500000</v>
      </c>
      <c r="E41" s="50">
        <f t="shared" si="14"/>
        <v>1500000</v>
      </c>
      <c r="F41" s="50">
        <f t="shared" ref="F41" si="15">F21-F25-F36</f>
        <v>1500000</v>
      </c>
      <c r="G41" s="50">
        <f t="shared" si="14"/>
        <v>1500000</v>
      </c>
      <c r="H41" s="50">
        <f t="shared" si="14"/>
        <v>1500000</v>
      </c>
      <c r="I41" s="50">
        <f t="shared" si="14"/>
        <v>1500000</v>
      </c>
      <c r="J41" s="50">
        <f t="shared" si="14"/>
        <v>1500000</v>
      </c>
      <c r="K41" s="50">
        <f>K21-K25-K36</f>
        <v>1500000</v>
      </c>
      <c r="L41" s="50">
        <f>L21-L25-L36</f>
        <v>1500000</v>
      </c>
      <c r="M41" s="50">
        <f>M21-M25-M36</f>
        <v>1500000</v>
      </c>
      <c r="N41" s="50">
        <f>N21-N25-N36</f>
        <v>1500000</v>
      </c>
      <c r="O41" s="50">
        <f>O21-O25-O36-O38</f>
        <v>19500000</v>
      </c>
      <c r="P41" s="126">
        <f>P21-P25-P36</f>
        <v>19500000</v>
      </c>
      <c r="Q41" s="126">
        <f>Q21-Q25-Q36</f>
        <v>18000000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4500-000000000000}"/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V51"/>
  <sheetViews>
    <sheetView topLeftCell="A8" workbookViewId="0">
      <pane xSplit="2" ySplit="1" topLeftCell="C9" activePane="bottomRight" state="frozen"/>
      <selection activeCell="J32" sqref="J32"/>
      <selection pane="topRight" activeCell="J32" sqref="J32"/>
      <selection pane="bottomLeft" activeCell="J32" sqref="J32"/>
      <selection pane="bottomRight" activeCell="G33" sqref="G3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578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>
        <f>SUM(C9:N9)</f>
        <v>0</v>
      </c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>
        <f>SUM(C11:N11)</f>
        <v>0</v>
      </c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0</v>
      </c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>
        <f>SUM(O9:O14)</f>
        <v>0</v>
      </c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 t="shared" si="2"/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 t="shared" ref="D19:N19" si="3">IF(D17*5%&lt;500000,D17*5%,500000)</f>
        <v>0</v>
      </c>
      <c r="E19" s="37">
        <f t="shared" si="3"/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 t="shared" ref="C24:N24" si="5">C17-C22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54000000</v>
      </c>
      <c r="D27" s="53">
        <f>C27</f>
        <v>54000000</v>
      </c>
      <c r="E27" s="53">
        <f t="shared" ref="E27:M27" si="6">D27</f>
        <v>54000000</v>
      </c>
      <c r="F27" s="53">
        <f t="shared" si="6"/>
        <v>54000000</v>
      </c>
      <c r="G27" s="53">
        <f t="shared" si="6"/>
        <v>54000000</v>
      </c>
      <c r="H27" s="53">
        <f>G27</f>
        <v>54000000</v>
      </c>
      <c r="I27" s="53">
        <f t="shared" si="6"/>
        <v>54000000</v>
      </c>
      <c r="J27" s="53">
        <f t="shared" si="6"/>
        <v>54000000</v>
      </c>
      <c r="K27" s="53">
        <f t="shared" si="6"/>
        <v>54000000</v>
      </c>
      <c r="L27" s="53">
        <f t="shared" si="6"/>
        <v>54000000</v>
      </c>
      <c r="M27" s="53">
        <f t="shared" si="6"/>
        <v>54000000</v>
      </c>
      <c r="N27" s="53">
        <f>M27</f>
        <v>54000000</v>
      </c>
      <c r="O27" s="53">
        <f>N27</f>
        <v>54000000</v>
      </c>
      <c r="P27" s="103">
        <f>O27</f>
        <v>54000000</v>
      </c>
      <c r="Q27" s="103">
        <f>P27</f>
        <v>54000000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f>P31/12</f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9:Q14 D10:N14 C9:N9" xr:uid="{00000000-0002-0000-4700-000000000000}"/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V59"/>
  <sheetViews>
    <sheetView topLeftCell="C1" zoomScale="66" workbookViewId="0">
      <selection activeCell="N33" sqref="N3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695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80</v>
      </c>
      <c r="Q12" s="122" t="s">
        <v>3</v>
      </c>
    </row>
    <row r="13" spans="1:17" ht="20.100000000000001" customHeight="1" x14ac:dyDescent="0.25">
      <c r="A13" s="30">
        <v>1</v>
      </c>
      <c r="B13" s="31" t="s">
        <v>9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>
        <v>818182</v>
      </c>
      <c r="O13" s="32">
        <f>SUM(C13:N13)</f>
        <v>818182</v>
      </c>
      <c r="P13" s="123">
        <f t="shared" ref="P13:P18" si="1">Q13</f>
        <v>0</v>
      </c>
      <c r="Q13" s="123">
        <f t="shared" ref="Q13:Q18" si="2">G13*12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si="2"/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>
        <f t="shared" ref="N19" si="3">SUM(N13:N18)</f>
        <v>818182</v>
      </c>
      <c r="O19" s="38">
        <f>SUM(O13:O18)</f>
        <v>818182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0</v>
      </c>
      <c r="D21" s="259">
        <f t="shared" ref="D21:N21" si="4">D19+D20</f>
        <v>0</v>
      </c>
      <c r="E21" s="259">
        <f t="shared" si="4"/>
        <v>0</v>
      </c>
      <c r="F21" s="259">
        <f t="shared" si="4"/>
        <v>0</v>
      </c>
      <c r="G21" s="259">
        <f>G19+G20</f>
        <v>0</v>
      </c>
      <c r="H21" s="259">
        <f t="shared" si="4"/>
        <v>0</v>
      </c>
      <c r="I21" s="259">
        <f t="shared" si="4"/>
        <v>0</v>
      </c>
      <c r="J21" s="259">
        <f t="shared" si="4"/>
        <v>0</v>
      </c>
      <c r="K21" s="259">
        <f t="shared" si="4"/>
        <v>0</v>
      </c>
      <c r="L21" s="259">
        <f t="shared" si="4"/>
        <v>0</v>
      </c>
      <c r="M21" s="259">
        <f t="shared" si="4"/>
        <v>0</v>
      </c>
      <c r="N21" s="259">
        <f t="shared" si="4"/>
        <v>818182</v>
      </c>
      <c r="O21" s="259">
        <f>O19+O20</f>
        <v>818182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0</v>
      </c>
      <c r="D23" s="257">
        <f t="shared" ref="D23:O23" si="5">IF(D21*5%&lt;500000,D21*5%,500000)</f>
        <v>0</v>
      </c>
      <c r="E23" s="257">
        <f t="shared" si="5"/>
        <v>0</v>
      </c>
      <c r="F23" s="257">
        <f t="shared" si="5"/>
        <v>0</v>
      </c>
      <c r="G23" s="257">
        <f>IF(G21*5%&lt;500000,G21*5%,500000)</f>
        <v>0</v>
      </c>
      <c r="H23" s="257">
        <f t="shared" si="5"/>
        <v>0</v>
      </c>
      <c r="I23" s="257">
        <f t="shared" si="5"/>
        <v>0</v>
      </c>
      <c r="J23" s="257">
        <f t="shared" si="5"/>
        <v>0</v>
      </c>
      <c r="K23" s="257">
        <f t="shared" si="5"/>
        <v>0</v>
      </c>
      <c r="L23" s="257">
        <f t="shared" si="5"/>
        <v>0</v>
      </c>
      <c r="M23" s="257">
        <f t="shared" si="5"/>
        <v>0</v>
      </c>
      <c r="N23" s="257">
        <f t="shared" si="5"/>
        <v>40909.100000000006</v>
      </c>
      <c r="O23" s="257">
        <f>IF(O21*5%&lt;6000000,O21*5%,6000000)</f>
        <v>40909.100000000006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0</v>
      </c>
      <c r="D26" s="257">
        <f t="shared" si="6"/>
        <v>0</v>
      </c>
      <c r="E26" s="257">
        <f t="shared" si="6"/>
        <v>0</v>
      </c>
      <c r="F26" s="257">
        <f t="shared" si="6"/>
        <v>0</v>
      </c>
      <c r="G26" s="257">
        <f>SUM(G23:G25)</f>
        <v>0</v>
      </c>
      <c r="H26" s="257">
        <f t="shared" si="6"/>
        <v>0</v>
      </c>
      <c r="I26" s="257">
        <f t="shared" si="6"/>
        <v>0</v>
      </c>
      <c r="J26" s="257">
        <f t="shared" si="6"/>
        <v>0</v>
      </c>
      <c r="K26" s="257">
        <f t="shared" si="6"/>
        <v>0</v>
      </c>
      <c r="L26" s="257">
        <f t="shared" si="6"/>
        <v>0</v>
      </c>
      <c r="M26" s="257">
        <f t="shared" si="6"/>
        <v>0</v>
      </c>
      <c r="N26" s="257">
        <f t="shared" si="6"/>
        <v>40909.100000000006</v>
      </c>
      <c r="O26" s="263">
        <f>SUM(O22:O25)</f>
        <v>40909.100000000006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0</v>
      </c>
      <c r="D28" s="255">
        <f t="shared" ref="D28:O28" si="7">D21-D26</f>
        <v>0</v>
      </c>
      <c r="E28" s="255">
        <f t="shared" si="7"/>
        <v>0</v>
      </c>
      <c r="F28" s="255">
        <f t="shared" si="7"/>
        <v>0</v>
      </c>
      <c r="G28" s="255">
        <f>G21-G26</f>
        <v>0</v>
      </c>
      <c r="H28" s="255">
        <f t="shared" si="7"/>
        <v>0</v>
      </c>
      <c r="I28" s="255">
        <f t="shared" si="7"/>
        <v>0</v>
      </c>
      <c r="J28" s="255">
        <f t="shared" si="7"/>
        <v>0</v>
      </c>
      <c r="K28" s="255">
        <f t="shared" si="7"/>
        <v>0</v>
      </c>
      <c r="L28" s="255">
        <f t="shared" si="7"/>
        <v>0</v>
      </c>
      <c r="M28" s="255">
        <f t="shared" si="7"/>
        <v>0</v>
      </c>
      <c r="N28" s="255">
        <f t="shared" si="7"/>
        <v>777272.9</v>
      </c>
      <c r="O28" s="255">
        <f t="shared" si="7"/>
        <v>777272.9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0</v>
      </c>
      <c r="D30" s="253">
        <f>SUM(C28:D28)*D10/D11</f>
        <v>0</v>
      </c>
      <c r="E30" s="253">
        <f>SUM(C28:E28)*E10/E11</f>
        <v>0</v>
      </c>
      <c r="F30" s="253">
        <f>SUM(C28:F28)*F10/F11</f>
        <v>0</v>
      </c>
      <c r="G30" s="253">
        <f>SUM(C28:G28)*G10/G11</f>
        <v>0</v>
      </c>
      <c r="H30" s="253">
        <f>SUM(C28:H28)*H10/H11</f>
        <v>0</v>
      </c>
      <c r="I30" s="253">
        <f>SUM(C28:I28)*I10/I11</f>
        <v>0</v>
      </c>
      <c r="J30" s="253">
        <f>SUM(C28:J28)*J10/J11</f>
        <v>0</v>
      </c>
      <c r="K30" s="253">
        <f>SUM(C28:K28)*K10/K11</f>
        <v>0</v>
      </c>
      <c r="L30" s="253">
        <f>SUM(C28:L28)*L10/L11</f>
        <v>0</v>
      </c>
      <c r="M30" s="253">
        <f>SUM(C28:M28)*M10/M11</f>
        <v>0</v>
      </c>
      <c r="N30" s="253">
        <f>SUM(C28:N28)*N10/N11</f>
        <v>777272.9</v>
      </c>
      <c r="O30" s="254">
        <f>O28</f>
        <v>777272.9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0</v>
      </c>
      <c r="D31" s="255">
        <f t="shared" si="8"/>
        <v>0</v>
      </c>
      <c r="E31" s="255">
        <f t="shared" si="8"/>
        <v>0</v>
      </c>
      <c r="F31" s="255">
        <f t="shared" si="8"/>
        <v>0</v>
      </c>
      <c r="G31" s="255">
        <f>IF(G30&gt;0,VLOOKUP(G9,$B$47:$C$59,2,FALSE),0)</f>
        <v>0</v>
      </c>
      <c r="H31" s="255">
        <f t="shared" si="8"/>
        <v>0</v>
      </c>
      <c r="I31" s="255">
        <f t="shared" si="8"/>
        <v>0</v>
      </c>
      <c r="J31" s="255">
        <f t="shared" si="8"/>
        <v>0</v>
      </c>
      <c r="K31" s="255">
        <f t="shared" si="8"/>
        <v>0</v>
      </c>
      <c r="L31" s="255">
        <f t="shared" si="8"/>
        <v>0</v>
      </c>
      <c r="M31" s="255">
        <f t="shared" si="8"/>
        <v>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0</v>
      </c>
      <c r="D41" s="50">
        <f t="shared" si="14"/>
        <v>0</v>
      </c>
      <c r="E41" s="50">
        <f t="shared" si="14"/>
        <v>0</v>
      </c>
      <c r="F41" s="50">
        <f t="shared" si="14"/>
        <v>0</v>
      </c>
      <c r="G41" s="50">
        <f t="shared" si="14"/>
        <v>0</v>
      </c>
      <c r="H41" s="50">
        <f t="shared" si="14"/>
        <v>0</v>
      </c>
      <c r="I41" s="50">
        <f t="shared" si="14"/>
        <v>0</v>
      </c>
      <c r="J41" s="50">
        <f t="shared" si="14"/>
        <v>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818182</v>
      </c>
      <c r="O41" s="50">
        <f>O21-O25-O36-O38</f>
        <v>818182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13:N13 D14:N18 P13:Q18" xr:uid="{00000000-0002-0000-4800-000000000000}"/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V51"/>
  <sheetViews>
    <sheetView workbookViewId="0">
      <selection activeCell="G33" sqref="G3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583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>
        <f>SUM(C9:N9)</f>
        <v>0</v>
      </c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>
        <f>SUM(C11:N11)</f>
        <v>0</v>
      </c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0</v>
      </c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>
        <f>SUM(O9:O14)</f>
        <v>0</v>
      </c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>D15+D16</f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>IF(D17*5%&lt;500000,D17*5%,500000)</f>
        <v>0</v>
      </c>
      <c r="E19" s="37">
        <f t="shared" ref="E19:N19" si="3">IF(E17*5%&lt;500000,E17*5%,500000)</f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 t="shared" ref="C24:N24" si="5">C17-C22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72000000</v>
      </c>
      <c r="D27" s="53">
        <f>C27</f>
        <v>72000000</v>
      </c>
      <c r="E27" s="53">
        <f t="shared" ref="E27:M27" si="6">D27</f>
        <v>72000000</v>
      </c>
      <c r="F27" s="53">
        <f t="shared" si="6"/>
        <v>72000000</v>
      </c>
      <c r="G27" s="53">
        <f t="shared" si="6"/>
        <v>72000000</v>
      </c>
      <c r="H27" s="53">
        <f>G27</f>
        <v>72000000</v>
      </c>
      <c r="I27" s="53">
        <f t="shared" si="6"/>
        <v>72000000</v>
      </c>
      <c r="J27" s="53">
        <f t="shared" si="6"/>
        <v>72000000</v>
      </c>
      <c r="K27" s="53">
        <f t="shared" si="6"/>
        <v>72000000</v>
      </c>
      <c r="L27" s="53">
        <f t="shared" si="6"/>
        <v>72000000</v>
      </c>
      <c r="M27" s="53">
        <f t="shared" si="6"/>
        <v>72000000</v>
      </c>
      <c r="N27" s="53">
        <f>M27</f>
        <v>72000000</v>
      </c>
      <c r="O27" s="53">
        <f>N27</f>
        <v>72000000</v>
      </c>
      <c r="P27" s="103">
        <f>O27</f>
        <v>72000000</v>
      </c>
      <c r="Q27" s="103">
        <f>P27</f>
        <v>72000000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f>P31/12</f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9:N9 D10:N14 P9:Q14" xr:uid="{00000000-0002-0000-4900-000000000000}"/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V51"/>
  <sheetViews>
    <sheetView workbookViewId="0">
      <selection activeCell="G33" sqref="G3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584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>
        <f>SUM(C9:N9)</f>
        <v>0</v>
      </c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>
        <f>SUM(C11:N11)</f>
        <v>0</v>
      </c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0</v>
      </c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>
        <f>SUM(O9:O14)</f>
        <v>0</v>
      </c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>D15+D16</f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>IF(D17*5%&lt;500000,D17*5%,500000)</f>
        <v>0</v>
      </c>
      <c r="E19" s="37">
        <f t="shared" ref="E19:N19" si="3">IF(E17*5%&lt;500000,E17*5%,500000)</f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 t="shared" ref="C24:N24" si="5">C17-C22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72000000</v>
      </c>
      <c r="D27" s="53">
        <f>C27</f>
        <v>72000000</v>
      </c>
      <c r="E27" s="53">
        <f t="shared" ref="E27:M27" si="6">D27</f>
        <v>72000000</v>
      </c>
      <c r="F27" s="53">
        <f t="shared" si="6"/>
        <v>72000000</v>
      </c>
      <c r="G27" s="53">
        <f t="shared" si="6"/>
        <v>72000000</v>
      </c>
      <c r="H27" s="53">
        <f>G27</f>
        <v>72000000</v>
      </c>
      <c r="I27" s="53">
        <f t="shared" si="6"/>
        <v>72000000</v>
      </c>
      <c r="J27" s="53">
        <f t="shared" si="6"/>
        <v>72000000</v>
      </c>
      <c r="K27" s="53">
        <f t="shared" si="6"/>
        <v>72000000</v>
      </c>
      <c r="L27" s="53">
        <f t="shared" si="6"/>
        <v>72000000</v>
      </c>
      <c r="M27" s="53">
        <f t="shared" si="6"/>
        <v>72000000</v>
      </c>
      <c r="N27" s="53">
        <f>M27</f>
        <v>72000000</v>
      </c>
      <c r="O27" s="53">
        <f>N27</f>
        <v>72000000</v>
      </c>
      <c r="P27" s="103">
        <f>O27</f>
        <v>72000000</v>
      </c>
      <c r="Q27" s="103">
        <f>P27</f>
        <v>72000000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f>P31/12</f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9:N9 D10:N14 P9:Q14" xr:uid="{00000000-0002-0000-4A00-000000000000}"/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V59"/>
  <sheetViews>
    <sheetView topLeftCell="E1" zoomScale="72" workbookViewId="0">
      <selection activeCell="M31" sqref="M31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694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80</v>
      </c>
      <c r="Q12" s="122" t="s">
        <v>3</v>
      </c>
    </row>
    <row r="13" spans="1:17" ht="20.100000000000001" customHeight="1" x14ac:dyDescent="0.25">
      <c r="A13" s="30">
        <v>1</v>
      </c>
      <c r="B13" s="31" t="s">
        <v>9</v>
      </c>
      <c r="C13" s="150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>
        <v>1500000</v>
      </c>
      <c r="O13" s="32">
        <f>SUM(C13:N13)</f>
        <v>1500000</v>
      </c>
      <c r="P13" s="123">
        <f t="shared" ref="P13:P18" si="1">Q13</f>
        <v>0</v>
      </c>
      <c r="Q13" s="123">
        <f t="shared" ref="Q13:Q18" si="2">G13*12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si="2"/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0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>
        <f t="shared" ref="N19" si="3">SUM(N13:N18)</f>
        <v>1500000</v>
      </c>
      <c r="O19" s="38">
        <f>SUM(O13:O18)</f>
        <v>1500000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0</v>
      </c>
      <c r="D21" s="259">
        <f t="shared" ref="D21:N21" si="4">D19+D20</f>
        <v>0</v>
      </c>
      <c r="E21" s="259">
        <f t="shared" si="4"/>
        <v>0</v>
      </c>
      <c r="F21" s="259">
        <f t="shared" si="4"/>
        <v>0</v>
      </c>
      <c r="G21" s="259">
        <f>G19+G20</f>
        <v>0</v>
      </c>
      <c r="H21" s="259">
        <f t="shared" si="4"/>
        <v>0</v>
      </c>
      <c r="I21" s="259">
        <f t="shared" si="4"/>
        <v>0</v>
      </c>
      <c r="J21" s="259">
        <f t="shared" si="4"/>
        <v>0</v>
      </c>
      <c r="K21" s="259">
        <f t="shared" si="4"/>
        <v>0</v>
      </c>
      <c r="L21" s="259">
        <f t="shared" si="4"/>
        <v>0</v>
      </c>
      <c r="M21" s="259">
        <f t="shared" si="4"/>
        <v>0</v>
      </c>
      <c r="N21" s="259">
        <f t="shared" si="4"/>
        <v>1500000</v>
      </c>
      <c r="O21" s="259">
        <f>O19+O20</f>
        <v>1500000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0</v>
      </c>
      <c r="D23" s="257">
        <f t="shared" ref="D23:O23" si="5">IF(D21*5%&lt;500000,D21*5%,500000)</f>
        <v>0</v>
      </c>
      <c r="E23" s="257">
        <f t="shared" si="5"/>
        <v>0</v>
      </c>
      <c r="F23" s="257">
        <f t="shared" si="5"/>
        <v>0</v>
      </c>
      <c r="G23" s="257">
        <f>IF(G21*5%&lt;500000,G21*5%,500000)</f>
        <v>0</v>
      </c>
      <c r="H23" s="257">
        <f t="shared" si="5"/>
        <v>0</v>
      </c>
      <c r="I23" s="257">
        <f t="shared" si="5"/>
        <v>0</v>
      </c>
      <c r="J23" s="257">
        <f t="shared" si="5"/>
        <v>0</v>
      </c>
      <c r="K23" s="257">
        <f t="shared" si="5"/>
        <v>0</v>
      </c>
      <c r="L23" s="257">
        <f t="shared" si="5"/>
        <v>0</v>
      </c>
      <c r="M23" s="257">
        <f t="shared" si="5"/>
        <v>0</v>
      </c>
      <c r="N23" s="257">
        <f t="shared" si="5"/>
        <v>75000</v>
      </c>
      <c r="O23" s="257">
        <f>IF(O21*5%&lt;6000000,O21*5%,6000000)</f>
        <v>75000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0</v>
      </c>
      <c r="D26" s="257">
        <f t="shared" si="6"/>
        <v>0</v>
      </c>
      <c r="E26" s="257">
        <f t="shared" si="6"/>
        <v>0</v>
      </c>
      <c r="F26" s="257">
        <f t="shared" si="6"/>
        <v>0</v>
      </c>
      <c r="G26" s="257">
        <f>SUM(G23:G25)</f>
        <v>0</v>
      </c>
      <c r="H26" s="257">
        <f t="shared" si="6"/>
        <v>0</v>
      </c>
      <c r="I26" s="257">
        <f t="shared" si="6"/>
        <v>0</v>
      </c>
      <c r="J26" s="257">
        <f t="shared" si="6"/>
        <v>0</v>
      </c>
      <c r="K26" s="257">
        <f t="shared" si="6"/>
        <v>0</v>
      </c>
      <c r="L26" s="257">
        <f t="shared" si="6"/>
        <v>0</v>
      </c>
      <c r="M26" s="257">
        <f t="shared" si="6"/>
        <v>0</v>
      </c>
      <c r="N26" s="257">
        <f t="shared" si="6"/>
        <v>75000</v>
      </c>
      <c r="O26" s="263">
        <f>SUM(O22:O25)</f>
        <v>75000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0</v>
      </c>
      <c r="D28" s="255">
        <f t="shared" ref="D28:O28" si="7">D21-D26</f>
        <v>0</v>
      </c>
      <c r="E28" s="255">
        <f t="shared" si="7"/>
        <v>0</v>
      </c>
      <c r="F28" s="255">
        <f t="shared" si="7"/>
        <v>0</v>
      </c>
      <c r="G28" s="255">
        <f>G21-G26</f>
        <v>0</v>
      </c>
      <c r="H28" s="255">
        <f t="shared" si="7"/>
        <v>0</v>
      </c>
      <c r="I28" s="255">
        <f t="shared" si="7"/>
        <v>0</v>
      </c>
      <c r="J28" s="255">
        <f t="shared" si="7"/>
        <v>0</v>
      </c>
      <c r="K28" s="255">
        <f t="shared" si="7"/>
        <v>0</v>
      </c>
      <c r="L28" s="255">
        <f t="shared" si="7"/>
        <v>0</v>
      </c>
      <c r="M28" s="255">
        <f t="shared" si="7"/>
        <v>0</v>
      </c>
      <c r="N28" s="255">
        <f t="shared" si="7"/>
        <v>1425000</v>
      </c>
      <c r="O28" s="255">
        <f t="shared" si="7"/>
        <v>1425000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0</v>
      </c>
      <c r="D30" s="253">
        <f>SUM(C28:D28)*D10/D11</f>
        <v>0</v>
      </c>
      <c r="E30" s="253">
        <f>SUM(C28:E28)*E10/E11</f>
        <v>0</v>
      </c>
      <c r="F30" s="253">
        <f>SUM(C28:F28)*F10/F11</f>
        <v>0</v>
      </c>
      <c r="G30" s="253">
        <f>SUM(C28:G28)*G10/G11</f>
        <v>0</v>
      </c>
      <c r="H30" s="253">
        <f>SUM(C28:H28)*H10/H11</f>
        <v>0</v>
      </c>
      <c r="I30" s="253">
        <f>SUM(C28:I28)*I10/I11</f>
        <v>0</v>
      </c>
      <c r="J30" s="253">
        <f>SUM(C28:J28)*J10/J11</f>
        <v>0</v>
      </c>
      <c r="K30" s="253">
        <f>SUM(C28:K28)*K10/K11</f>
        <v>0</v>
      </c>
      <c r="L30" s="253">
        <f>SUM(C28:L28)*L10/L11</f>
        <v>0</v>
      </c>
      <c r="M30" s="253">
        <f>SUM(C28:M28)*M10/M11</f>
        <v>0</v>
      </c>
      <c r="N30" s="253">
        <f>SUM(C28:N28)*N10/N11</f>
        <v>1425000</v>
      </c>
      <c r="O30" s="254">
        <f>O28</f>
        <v>1425000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0</v>
      </c>
      <c r="D31" s="255">
        <f t="shared" si="8"/>
        <v>0</v>
      </c>
      <c r="E31" s="255">
        <f t="shared" si="8"/>
        <v>0</v>
      </c>
      <c r="F31" s="255">
        <f t="shared" si="8"/>
        <v>0</v>
      </c>
      <c r="G31" s="255">
        <f>IF(G30&gt;0,VLOOKUP(G9,$B$47:$C$59,2,FALSE),0)</f>
        <v>0</v>
      </c>
      <c r="H31" s="255">
        <f t="shared" si="8"/>
        <v>0</v>
      </c>
      <c r="I31" s="255">
        <f t="shared" si="8"/>
        <v>0</v>
      </c>
      <c r="J31" s="255">
        <f t="shared" si="8"/>
        <v>0</v>
      </c>
      <c r="K31" s="255">
        <f t="shared" si="8"/>
        <v>0</v>
      </c>
      <c r="L31" s="255">
        <f t="shared" si="8"/>
        <v>0</v>
      </c>
      <c r="M31" s="255">
        <f t="shared" si="8"/>
        <v>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0</v>
      </c>
      <c r="D41" s="50">
        <f t="shared" si="14"/>
        <v>0</v>
      </c>
      <c r="E41" s="50">
        <f t="shared" si="14"/>
        <v>0</v>
      </c>
      <c r="F41" s="50">
        <f t="shared" si="14"/>
        <v>0</v>
      </c>
      <c r="G41" s="50">
        <f t="shared" si="14"/>
        <v>0</v>
      </c>
      <c r="H41" s="50">
        <f t="shared" si="14"/>
        <v>0</v>
      </c>
      <c r="I41" s="50">
        <f t="shared" si="14"/>
        <v>0</v>
      </c>
      <c r="J41" s="50">
        <f t="shared" si="14"/>
        <v>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1500000</v>
      </c>
      <c r="O41" s="50">
        <f>O21-O25-O36-O38</f>
        <v>1500000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13:N13 D14:N18 P13:Q18" xr:uid="{00000000-0002-0000-4600-000000000000}"/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V59"/>
  <sheetViews>
    <sheetView topLeftCell="B1" zoomScale="53" workbookViewId="0">
      <selection activeCell="O24" sqref="O24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585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80</v>
      </c>
      <c r="Q12" s="122" t="s">
        <v>3</v>
      </c>
    </row>
    <row r="13" spans="1:17" ht="20.100000000000001" customHeight="1" x14ac:dyDescent="0.25">
      <c r="A13" s="30">
        <v>1</v>
      </c>
      <c r="B13" s="31" t="s">
        <v>9</v>
      </c>
      <c r="C13" s="150">
        <v>2000000</v>
      </c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2000000</v>
      </c>
      <c r="P13" s="123">
        <f t="shared" ref="P13:P18" si="1">Q13</f>
        <v>0</v>
      </c>
      <c r="Q13" s="123">
        <f t="shared" ref="Q13:Q18" si="2">G13*12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si="2"/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2000000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8">
        <f>SUM(O13:O18)</f>
        <v>2000000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2000000</v>
      </c>
      <c r="D21" s="259">
        <f t="shared" ref="D21:N21" si="3">D19+D20</f>
        <v>0</v>
      </c>
      <c r="E21" s="259">
        <f t="shared" si="3"/>
        <v>0</v>
      </c>
      <c r="F21" s="259">
        <f t="shared" si="3"/>
        <v>0</v>
      </c>
      <c r="G21" s="259">
        <f>G19+G20</f>
        <v>0</v>
      </c>
      <c r="H21" s="259">
        <f t="shared" si="3"/>
        <v>0</v>
      </c>
      <c r="I21" s="259">
        <f t="shared" si="3"/>
        <v>0</v>
      </c>
      <c r="J21" s="259">
        <f t="shared" si="3"/>
        <v>0</v>
      </c>
      <c r="K21" s="259">
        <f t="shared" si="3"/>
        <v>0</v>
      </c>
      <c r="L21" s="259">
        <f t="shared" si="3"/>
        <v>0</v>
      </c>
      <c r="M21" s="259">
        <f t="shared" si="3"/>
        <v>0</v>
      </c>
      <c r="N21" s="259">
        <f t="shared" si="3"/>
        <v>0</v>
      </c>
      <c r="O21" s="259">
        <f>O19+O20</f>
        <v>2000000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100000</v>
      </c>
      <c r="D23" s="257">
        <f t="shared" ref="D23:O23" si="4">IF(D21*5%&lt;500000,D21*5%,500000)</f>
        <v>0</v>
      </c>
      <c r="E23" s="257">
        <f t="shared" si="4"/>
        <v>0</v>
      </c>
      <c r="F23" s="257">
        <f t="shared" si="4"/>
        <v>0</v>
      </c>
      <c r="G23" s="257">
        <f>IF(G21*5%&lt;500000,G21*5%,500000)</f>
        <v>0</v>
      </c>
      <c r="H23" s="257">
        <f t="shared" si="4"/>
        <v>0</v>
      </c>
      <c r="I23" s="257">
        <f t="shared" si="4"/>
        <v>0</v>
      </c>
      <c r="J23" s="257">
        <f t="shared" si="4"/>
        <v>0</v>
      </c>
      <c r="K23" s="257">
        <f t="shared" si="4"/>
        <v>0</v>
      </c>
      <c r="L23" s="257">
        <f t="shared" si="4"/>
        <v>0</v>
      </c>
      <c r="M23" s="257">
        <f t="shared" si="4"/>
        <v>0</v>
      </c>
      <c r="N23" s="257">
        <f t="shared" si="4"/>
        <v>0</v>
      </c>
      <c r="O23" s="257">
        <f>IF(O21*5%&lt;6000000,O21*5%,6000000)</f>
        <v>100000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5">SUM(C23:C25)</f>
        <v>100000</v>
      </c>
      <c r="D26" s="257">
        <f t="shared" si="5"/>
        <v>0</v>
      </c>
      <c r="E26" s="257">
        <f t="shared" si="5"/>
        <v>0</v>
      </c>
      <c r="F26" s="257">
        <f t="shared" si="5"/>
        <v>0</v>
      </c>
      <c r="G26" s="257">
        <f>SUM(G23:G25)</f>
        <v>0</v>
      </c>
      <c r="H26" s="257">
        <f t="shared" si="5"/>
        <v>0</v>
      </c>
      <c r="I26" s="257">
        <f t="shared" si="5"/>
        <v>0</v>
      </c>
      <c r="J26" s="257">
        <f t="shared" si="5"/>
        <v>0</v>
      </c>
      <c r="K26" s="257">
        <f t="shared" si="5"/>
        <v>0</v>
      </c>
      <c r="L26" s="257">
        <f t="shared" si="5"/>
        <v>0</v>
      </c>
      <c r="M26" s="257">
        <f t="shared" si="5"/>
        <v>0</v>
      </c>
      <c r="N26" s="257">
        <f t="shared" si="5"/>
        <v>0</v>
      </c>
      <c r="O26" s="263">
        <f>SUM(O22:O25)</f>
        <v>100000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1900000</v>
      </c>
      <c r="D28" s="255">
        <f t="shared" ref="D28:O28" si="6">D21-D26</f>
        <v>0</v>
      </c>
      <c r="E28" s="255">
        <f t="shared" si="6"/>
        <v>0</v>
      </c>
      <c r="F28" s="255">
        <f t="shared" si="6"/>
        <v>0</v>
      </c>
      <c r="G28" s="255">
        <f>G21-G26</f>
        <v>0</v>
      </c>
      <c r="H28" s="255">
        <f t="shared" si="6"/>
        <v>0</v>
      </c>
      <c r="I28" s="255">
        <f t="shared" si="6"/>
        <v>0</v>
      </c>
      <c r="J28" s="255">
        <f t="shared" si="6"/>
        <v>0</v>
      </c>
      <c r="K28" s="255">
        <f t="shared" si="6"/>
        <v>0</v>
      </c>
      <c r="L28" s="255">
        <f t="shared" si="6"/>
        <v>0</v>
      </c>
      <c r="M28" s="255">
        <f t="shared" si="6"/>
        <v>0</v>
      </c>
      <c r="N28" s="255">
        <f t="shared" si="6"/>
        <v>0</v>
      </c>
      <c r="O28" s="255">
        <f t="shared" si="6"/>
        <v>1900000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22800000</v>
      </c>
      <c r="D30" s="253">
        <f>SUM(C28:D28)*D10/D11</f>
        <v>11400000</v>
      </c>
      <c r="E30" s="253">
        <f>SUM(C28:E28)*E10/E11</f>
        <v>7600000</v>
      </c>
      <c r="F30" s="253">
        <f>SUM(C28:F28)*F10/F11</f>
        <v>5700000</v>
      </c>
      <c r="G30" s="253">
        <f>SUM(C28:G28)*G10/G11</f>
        <v>4560000</v>
      </c>
      <c r="H30" s="253">
        <f>SUM(C28:H28)*H10/H11</f>
        <v>3800000</v>
      </c>
      <c r="I30" s="253">
        <f>SUM(C28:I28)*I10/I11</f>
        <v>3257142.8571428573</v>
      </c>
      <c r="J30" s="253">
        <f>SUM(C28:J28)*J10/J11</f>
        <v>2850000</v>
      </c>
      <c r="K30" s="253">
        <f>SUM(C28:K28)*K10/K11</f>
        <v>2533333.3333333335</v>
      </c>
      <c r="L30" s="253">
        <f>SUM(C28:L28)*L10/L11</f>
        <v>2280000</v>
      </c>
      <c r="M30" s="253">
        <f>SUM(C28:M28)*M10/M11</f>
        <v>2072727.2727272727</v>
      </c>
      <c r="N30" s="253">
        <f>SUM(C28:N28)*N10/N11</f>
        <v>1900000</v>
      </c>
      <c r="O30" s="254">
        <f>O28</f>
        <v>1900000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7">IF(C30&gt;0,VLOOKUP(C9,$B$47:$C$59,2,FALSE),0)</f>
        <v>72000000</v>
      </c>
      <c r="D31" s="255">
        <f t="shared" si="7"/>
        <v>72000000</v>
      </c>
      <c r="E31" s="255">
        <f t="shared" si="7"/>
        <v>72000000</v>
      </c>
      <c r="F31" s="255">
        <f t="shared" si="7"/>
        <v>72000000</v>
      </c>
      <c r="G31" s="255">
        <f>IF(G30&gt;0,VLOOKUP(G9,$B$47:$C$59,2,FALSE),0)</f>
        <v>72000000</v>
      </c>
      <c r="H31" s="255">
        <f t="shared" si="7"/>
        <v>72000000</v>
      </c>
      <c r="I31" s="255">
        <f t="shared" si="7"/>
        <v>72000000</v>
      </c>
      <c r="J31" s="255">
        <f t="shared" si="7"/>
        <v>72000000</v>
      </c>
      <c r="K31" s="255">
        <f t="shared" si="7"/>
        <v>72000000</v>
      </c>
      <c r="L31" s="255">
        <f t="shared" si="7"/>
        <v>72000000</v>
      </c>
      <c r="M31" s="255">
        <f t="shared" si="7"/>
        <v>72000000</v>
      </c>
      <c r="N31" s="255">
        <f t="shared" si="7"/>
        <v>72000000</v>
      </c>
      <c r="O31" s="255">
        <f t="shared" si="7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8">ROUNDDOWN(IF(D30&lt;=D31,0,IF(D30&gt;D31,D30-D31)),-3)</f>
        <v>0</v>
      </c>
      <c r="E32" s="256">
        <f t="shared" si="8"/>
        <v>0</v>
      </c>
      <c r="F32" s="256">
        <f t="shared" si="8"/>
        <v>0</v>
      </c>
      <c r="G32" s="256">
        <f t="shared" si="8"/>
        <v>0</v>
      </c>
      <c r="H32" s="256">
        <f t="shared" si="8"/>
        <v>0</v>
      </c>
      <c r="I32" s="256">
        <f>ROUNDDOWN(IF(I30&lt;=I31,0,IF(I30&gt;I31,I30-I31)),-3)</f>
        <v>0</v>
      </c>
      <c r="J32" s="256">
        <f t="shared" si="8"/>
        <v>0</v>
      </c>
      <c r="K32" s="256">
        <f t="shared" si="8"/>
        <v>0</v>
      </c>
      <c r="L32" s="256">
        <f t="shared" si="8"/>
        <v>0</v>
      </c>
      <c r="M32" s="256">
        <f t="shared" si="8"/>
        <v>0</v>
      </c>
      <c r="N32" s="256">
        <f t="shared" si="8"/>
        <v>0</v>
      </c>
      <c r="O32" s="256">
        <f t="shared" si="8"/>
        <v>0</v>
      </c>
      <c r="P32" s="103">
        <f t="shared" ref="D32:Q32" si="9">ROUNDDOWN(IF(P30&lt;=P31,0,IF(P30&gt;P31,P30-P31)),-3)</f>
        <v>0</v>
      </c>
      <c r="Q32" s="103">
        <f t="shared" si="9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0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0"/>
        <v>0</v>
      </c>
      <c r="E33" s="257">
        <f t="shared" si="10"/>
        <v>0</v>
      </c>
      <c r="F33" s="257">
        <f t="shared" si="10"/>
        <v>0</v>
      </c>
      <c r="G33" s="257">
        <f t="shared" si="10"/>
        <v>0</v>
      </c>
      <c r="H33" s="257">
        <f t="shared" si="10"/>
        <v>0</v>
      </c>
      <c r="I33" s="257">
        <f t="shared" si="10"/>
        <v>0</v>
      </c>
      <c r="J33" s="257">
        <f t="shared" si="10"/>
        <v>0</v>
      </c>
      <c r="K33" s="257">
        <f t="shared" si="10"/>
        <v>0</v>
      </c>
      <c r="L33" s="257">
        <f t="shared" si="10"/>
        <v>0</v>
      </c>
      <c r="M33" s="257">
        <f t="shared" si="10"/>
        <v>0</v>
      </c>
      <c r="N33" s="257">
        <f t="shared" si="10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103">
        <f>IF(P32&lt;0,0,IF(P32&lt;50000000,P32*5%,IF(P32&lt;250000000,(P32-50000000)*15%+2500000,IF(P32&lt;500000000,(P32-250000000)*25%+32500000,IF(P32&gt;500000000,(P32-500000000)*30%+95000000)))))</f>
        <v>0</v>
      </c>
      <c r="Q33" s="103">
        <f>IF(Q32&lt;0,0,IF(Q32&lt;50000000,Q32*5%,IF(Q32&lt;250000000,(Q32-50000000)*15%+2500000,IF(Q32&lt;500000000,(Q32-250000000)*25%+32500000,IF(Q32&gt;500000000,(Q32-500000000)*30%+95000000)))))</f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1">D33-D34</f>
        <v>0</v>
      </c>
      <c r="E35" s="255">
        <f t="shared" si="11"/>
        <v>0</v>
      </c>
      <c r="F35" s="255">
        <f t="shared" si="11"/>
        <v>0</v>
      </c>
      <c r="G35" s="255">
        <f t="shared" si="11"/>
        <v>0</v>
      </c>
      <c r="H35" s="255">
        <f t="shared" si="11"/>
        <v>0</v>
      </c>
      <c r="I35" s="255">
        <f t="shared" si="11"/>
        <v>0</v>
      </c>
      <c r="J35" s="255">
        <f t="shared" si="11"/>
        <v>0</v>
      </c>
      <c r="K35" s="255">
        <f t="shared" si="11"/>
        <v>0</v>
      </c>
      <c r="L35" s="255">
        <f t="shared" si="11"/>
        <v>0</v>
      </c>
      <c r="M35" s="255">
        <f t="shared" si="11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2">C21-C25-C36</f>
        <v>2000000</v>
      </c>
      <c r="D41" s="50">
        <f t="shared" si="12"/>
        <v>0</v>
      </c>
      <c r="E41" s="50">
        <f t="shared" si="12"/>
        <v>0</v>
      </c>
      <c r="F41" s="50">
        <f t="shared" si="12"/>
        <v>0</v>
      </c>
      <c r="G41" s="50">
        <f t="shared" si="12"/>
        <v>0</v>
      </c>
      <c r="H41" s="50">
        <f t="shared" si="12"/>
        <v>0</v>
      </c>
      <c r="I41" s="50">
        <f t="shared" si="12"/>
        <v>0</v>
      </c>
      <c r="J41" s="50">
        <f t="shared" si="12"/>
        <v>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0</v>
      </c>
      <c r="O41" s="50">
        <f>O21-O25-O36-O38</f>
        <v>2000000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13:N13 D14:N18 P13:Q18" xr:uid="{00000000-0002-0000-4C00-000000000000}"/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V59"/>
  <sheetViews>
    <sheetView topLeftCell="C8" zoomScale="72" workbookViewId="0">
      <selection activeCell="P33" sqref="P33:Q3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586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92">
        <v>2000000</v>
      </c>
      <c r="D13" s="92">
        <v>2000000</v>
      </c>
      <c r="E13" s="162">
        <v>2000000</v>
      </c>
      <c r="F13" s="92">
        <v>2000000</v>
      </c>
      <c r="G13" s="92">
        <v>2000000</v>
      </c>
      <c r="H13" s="92">
        <v>2150000</v>
      </c>
      <c r="I13" s="92">
        <v>2000000</v>
      </c>
      <c r="J13" s="92">
        <v>2000000</v>
      </c>
      <c r="K13" s="92"/>
      <c r="L13" s="92"/>
      <c r="M13" s="92"/>
      <c r="N13" s="92"/>
      <c r="O13" s="32">
        <f>SUM(C13:N13)</f>
        <v>16150000</v>
      </c>
      <c r="P13" s="123">
        <f t="shared" ref="P13:P18" si="1">Q13</f>
        <v>24000000</v>
      </c>
      <c r="Q13" s="123">
        <f>F13*12</f>
        <v>24000000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>
        <v>100000</v>
      </c>
      <c r="K16" s="92"/>
      <c r="L16" s="92"/>
      <c r="M16" s="92"/>
      <c r="N16" s="92"/>
      <c r="O16" s="32">
        <f>SUM(C16:N16)</f>
        <v>100000</v>
      </c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2000000</v>
      </c>
      <c r="D19" s="37">
        <f>SUM(D13:D18)</f>
        <v>2000000</v>
      </c>
      <c r="E19" s="37">
        <f>SUM(E13:E18)</f>
        <v>2000000</v>
      </c>
      <c r="F19" s="37">
        <f>SUM(F13:F18)</f>
        <v>2000000</v>
      </c>
      <c r="G19" s="37">
        <f t="shared" ref="G19:J19" si="3">SUM(G13:G18)</f>
        <v>2000000</v>
      </c>
      <c r="H19" s="37">
        <f t="shared" si="3"/>
        <v>2150000</v>
      </c>
      <c r="I19" s="37">
        <f t="shared" si="3"/>
        <v>2000000</v>
      </c>
      <c r="J19" s="37">
        <f t="shared" si="3"/>
        <v>2100000</v>
      </c>
      <c r="K19" s="37"/>
      <c r="L19" s="37"/>
      <c r="M19" s="37"/>
      <c r="N19" s="37"/>
      <c r="O19" s="38">
        <f>SUM(O13:O18)</f>
        <v>16250000</v>
      </c>
      <c r="P19" s="103">
        <f>SUM(P13:P18)</f>
        <v>24000000</v>
      </c>
      <c r="Q19" s="103">
        <f>SUM(Q13:Q18)</f>
        <v>24000000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2000000</v>
      </c>
      <c r="P20" s="110">
        <v>2000000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2000000</v>
      </c>
      <c r="D21" s="259">
        <f t="shared" ref="D21:N21" si="4">D19+D20</f>
        <v>2000000</v>
      </c>
      <c r="E21" s="259">
        <f t="shared" si="4"/>
        <v>2000000</v>
      </c>
      <c r="F21" s="259">
        <f t="shared" si="4"/>
        <v>2000000</v>
      </c>
      <c r="G21" s="259">
        <f>G19+G20</f>
        <v>2000000</v>
      </c>
      <c r="H21" s="259">
        <f t="shared" si="4"/>
        <v>2150000</v>
      </c>
      <c r="I21" s="259">
        <f t="shared" si="4"/>
        <v>2000000</v>
      </c>
      <c r="J21" s="259">
        <f t="shared" si="4"/>
        <v>2100000</v>
      </c>
      <c r="K21" s="259">
        <f t="shared" si="4"/>
        <v>0</v>
      </c>
      <c r="L21" s="259">
        <f t="shared" si="4"/>
        <v>0</v>
      </c>
      <c r="M21" s="259">
        <f t="shared" si="4"/>
        <v>0</v>
      </c>
      <c r="N21" s="259">
        <f t="shared" si="4"/>
        <v>0</v>
      </c>
      <c r="O21" s="259">
        <f>O19+O20</f>
        <v>18250000</v>
      </c>
      <c r="P21" s="103">
        <f>P19+P20</f>
        <v>26000000</v>
      </c>
      <c r="Q21" s="103">
        <f>Q19+Q20</f>
        <v>24000000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100000</v>
      </c>
      <c r="D23" s="257">
        <f t="shared" ref="D23:O23" si="5">IF(D21*5%&lt;500000,D21*5%,500000)</f>
        <v>100000</v>
      </c>
      <c r="E23" s="257">
        <f t="shared" si="5"/>
        <v>100000</v>
      </c>
      <c r="F23" s="257">
        <f t="shared" si="5"/>
        <v>100000</v>
      </c>
      <c r="G23" s="257">
        <f>IF(G21*5%&lt;500000,G21*5%,500000)</f>
        <v>100000</v>
      </c>
      <c r="H23" s="257">
        <f t="shared" si="5"/>
        <v>107500</v>
      </c>
      <c r="I23" s="257">
        <f t="shared" si="5"/>
        <v>100000</v>
      </c>
      <c r="J23" s="257">
        <f t="shared" si="5"/>
        <v>105000</v>
      </c>
      <c r="K23" s="257">
        <f t="shared" si="5"/>
        <v>0</v>
      </c>
      <c r="L23" s="257">
        <f t="shared" si="5"/>
        <v>0</v>
      </c>
      <c r="M23" s="257">
        <f t="shared" si="5"/>
        <v>0</v>
      </c>
      <c r="N23" s="257">
        <f t="shared" si="5"/>
        <v>0</v>
      </c>
      <c r="O23" s="257">
        <f>IF(O21*5%&lt;6000000,O21*5%,6000000)</f>
        <v>912500</v>
      </c>
      <c r="P23" s="110">
        <f>IF(P21*5%&lt;6000000,P21*5%,6000000)</f>
        <v>1300000</v>
      </c>
      <c r="Q23" s="110">
        <f>IF(Q21*5%&lt;6000000,Q21*5%,6000000)</f>
        <v>1200000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100000</v>
      </c>
      <c r="D26" s="257">
        <f t="shared" si="6"/>
        <v>100000</v>
      </c>
      <c r="E26" s="257">
        <f t="shared" si="6"/>
        <v>100000</v>
      </c>
      <c r="F26" s="257">
        <f t="shared" si="6"/>
        <v>100000</v>
      </c>
      <c r="G26" s="257">
        <f>SUM(G23:G25)</f>
        <v>100000</v>
      </c>
      <c r="H26" s="257">
        <f t="shared" si="6"/>
        <v>107500</v>
      </c>
      <c r="I26" s="257">
        <f t="shared" si="6"/>
        <v>100000</v>
      </c>
      <c r="J26" s="257">
        <f t="shared" si="6"/>
        <v>105000</v>
      </c>
      <c r="K26" s="257">
        <f t="shared" si="6"/>
        <v>0</v>
      </c>
      <c r="L26" s="257">
        <f t="shared" si="6"/>
        <v>0</v>
      </c>
      <c r="M26" s="257">
        <f t="shared" si="6"/>
        <v>0</v>
      </c>
      <c r="N26" s="257">
        <f t="shared" si="6"/>
        <v>0</v>
      </c>
      <c r="O26" s="263">
        <f>SUM(O22:O25)</f>
        <v>912500</v>
      </c>
      <c r="P26" s="103">
        <f>SUM(P23:P25)</f>
        <v>1300000</v>
      </c>
      <c r="Q26" s="103">
        <f>SUM(Q23:Q25)</f>
        <v>1200000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1900000</v>
      </c>
      <c r="D28" s="255">
        <f t="shared" ref="D28:O28" si="7">D21-D26</f>
        <v>1900000</v>
      </c>
      <c r="E28" s="255">
        <f t="shared" si="7"/>
        <v>1900000</v>
      </c>
      <c r="F28" s="255">
        <f t="shared" si="7"/>
        <v>1900000</v>
      </c>
      <c r="G28" s="255">
        <f>G21-G26</f>
        <v>1900000</v>
      </c>
      <c r="H28" s="255">
        <f t="shared" si="7"/>
        <v>2042500</v>
      </c>
      <c r="I28" s="255">
        <f t="shared" si="7"/>
        <v>1900000</v>
      </c>
      <c r="J28" s="255">
        <f t="shared" si="7"/>
        <v>1995000</v>
      </c>
      <c r="K28" s="255">
        <f t="shared" si="7"/>
        <v>0</v>
      </c>
      <c r="L28" s="255">
        <f t="shared" si="7"/>
        <v>0</v>
      </c>
      <c r="M28" s="255">
        <f t="shared" si="7"/>
        <v>0</v>
      </c>
      <c r="N28" s="255">
        <f t="shared" si="7"/>
        <v>0</v>
      </c>
      <c r="O28" s="255">
        <f t="shared" si="7"/>
        <v>17337500</v>
      </c>
      <c r="P28" s="103">
        <f>P21-P26</f>
        <v>24700000</v>
      </c>
      <c r="Q28" s="103">
        <f>Q21-Q26</f>
        <v>22800000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22800000</v>
      </c>
      <c r="D30" s="253">
        <f>SUM(C28:D28)*D10/D11</f>
        <v>22800000</v>
      </c>
      <c r="E30" s="253">
        <f>SUM(C28:E28)*E10/E11</f>
        <v>22800000</v>
      </c>
      <c r="F30" s="253">
        <f>SUM(C28:F28)*F10/F11</f>
        <v>22800000</v>
      </c>
      <c r="G30" s="253">
        <f>SUM(C28:G28)*G10/G11</f>
        <v>22800000</v>
      </c>
      <c r="H30" s="253">
        <f>SUM(C28:H28)*H10/H11</f>
        <v>23085000</v>
      </c>
      <c r="I30" s="253">
        <f>SUM(C28:I28)*I10/I11</f>
        <v>23044285.714285713</v>
      </c>
      <c r="J30" s="253">
        <f>SUM(C28:J28)*J10/J11</f>
        <v>23156250</v>
      </c>
      <c r="K30" s="253">
        <f>SUM(C28:K28)*K10/K11</f>
        <v>20583333.333333332</v>
      </c>
      <c r="L30" s="253">
        <f>SUM(C28:L28)*L10/L11</f>
        <v>18525000</v>
      </c>
      <c r="M30" s="253">
        <f>SUM(C28:M28)*M10/M11</f>
        <v>16840909.09090909</v>
      </c>
      <c r="N30" s="253">
        <f>SUM(C28:N28)*N10/N11</f>
        <v>15437500</v>
      </c>
      <c r="O30" s="254">
        <f>O28</f>
        <v>17337500</v>
      </c>
      <c r="P30" s="108">
        <f>P28</f>
        <v>24700000</v>
      </c>
      <c r="Q30" s="108">
        <f>Q28</f>
        <v>22800000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54000000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2000000</v>
      </c>
      <c r="D41" s="50">
        <f t="shared" si="14"/>
        <v>2000000</v>
      </c>
      <c r="E41" s="50">
        <f t="shared" si="14"/>
        <v>2000000</v>
      </c>
      <c r="F41" s="50">
        <f t="shared" si="14"/>
        <v>2000000</v>
      </c>
      <c r="G41" s="50">
        <f t="shared" si="14"/>
        <v>2000000</v>
      </c>
      <c r="H41" s="50">
        <f t="shared" si="14"/>
        <v>2150000</v>
      </c>
      <c r="I41" s="50">
        <f t="shared" si="14"/>
        <v>2000000</v>
      </c>
      <c r="J41" s="50">
        <f t="shared" si="14"/>
        <v>2100000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0</v>
      </c>
      <c r="O41" s="50">
        <f>O21-O25-O36-O38</f>
        <v>18250000</v>
      </c>
      <c r="P41" s="126">
        <f>P21-P25-P36</f>
        <v>26000000</v>
      </c>
      <c r="Q41" s="126">
        <f>Q21-Q25-Q36</f>
        <v>24000000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13:N13 D14:N18 P13:Q18" xr:uid="{00000000-0002-0000-4D00-000000000000}"/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V59"/>
  <sheetViews>
    <sheetView topLeftCell="C1" zoomScale="62" workbookViewId="0">
      <selection activeCell="O24" sqref="O24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587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80</v>
      </c>
      <c r="Q12" s="122" t="s">
        <v>3</v>
      </c>
    </row>
    <row r="13" spans="1:17" ht="20.100000000000001" customHeight="1" x14ac:dyDescent="0.25">
      <c r="A13" s="30">
        <v>1</v>
      </c>
      <c r="B13" s="31" t="s">
        <v>9</v>
      </c>
      <c r="C13" s="150">
        <v>2000000</v>
      </c>
      <c r="D13" s="92">
        <v>2000000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4000000</v>
      </c>
      <c r="P13" s="123">
        <f t="shared" ref="P13:P18" si="1">Q13</f>
        <v>0</v>
      </c>
      <c r="Q13" s="123">
        <f t="shared" ref="Q13:Q18" si="2">G13*12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si="2"/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2000000</v>
      </c>
      <c r="D19" s="37">
        <f>SUM(D13:D18)</f>
        <v>2000000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8">
        <f>SUM(O13:O18)</f>
        <v>4000000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2000000</v>
      </c>
      <c r="D21" s="259">
        <f t="shared" ref="D21:N21" si="3">D19+D20</f>
        <v>2000000</v>
      </c>
      <c r="E21" s="259">
        <f t="shared" si="3"/>
        <v>0</v>
      </c>
      <c r="F21" s="259">
        <f t="shared" si="3"/>
        <v>0</v>
      </c>
      <c r="G21" s="259">
        <f>G19+G20</f>
        <v>0</v>
      </c>
      <c r="H21" s="259">
        <f t="shared" si="3"/>
        <v>0</v>
      </c>
      <c r="I21" s="259">
        <f t="shared" si="3"/>
        <v>0</v>
      </c>
      <c r="J21" s="259">
        <f t="shared" si="3"/>
        <v>0</v>
      </c>
      <c r="K21" s="259">
        <f t="shared" si="3"/>
        <v>0</v>
      </c>
      <c r="L21" s="259">
        <f t="shared" si="3"/>
        <v>0</v>
      </c>
      <c r="M21" s="259">
        <f t="shared" si="3"/>
        <v>0</v>
      </c>
      <c r="N21" s="259">
        <f t="shared" si="3"/>
        <v>0</v>
      </c>
      <c r="O21" s="259">
        <f>O19+O20</f>
        <v>4000000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100000</v>
      </c>
      <c r="D23" s="257">
        <f t="shared" ref="D23:O23" si="4">IF(D21*5%&lt;500000,D21*5%,500000)</f>
        <v>100000</v>
      </c>
      <c r="E23" s="257">
        <f t="shared" si="4"/>
        <v>0</v>
      </c>
      <c r="F23" s="257">
        <f t="shared" si="4"/>
        <v>0</v>
      </c>
      <c r="G23" s="257">
        <f>IF(G21*5%&lt;500000,G21*5%,500000)</f>
        <v>0</v>
      </c>
      <c r="H23" s="257">
        <f t="shared" si="4"/>
        <v>0</v>
      </c>
      <c r="I23" s="257">
        <f t="shared" si="4"/>
        <v>0</v>
      </c>
      <c r="J23" s="257">
        <f t="shared" si="4"/>
        <v>0</v>
      </c>
      <c r="K23" s="257">
        <f t="shared" si="4"/>
        <v>0</v>
      </c>
      <c r="L23" s="257">
        <f t="shared" si="4"/>
        <v>0</v>
      </c>
      <c r="M23" s="257">
        <f t="shared" si="4"/>
        <v>0</v>
      </c>
      <c r="N23" s="257">
        <f t="shared" si="4"/>
        <v>0</v>
      </c>
      <c r="O23" s="257">
        <f>IF(O21*5%&lt;6000000,O21*5%,6000000)</f>
        <v>200000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5">SUM(C23:C25)</f>
        <v>100000</v>
      </c>
      <c r="D26" s="257">
        <f t="shared" si="5"/>
        <v>100000</v>
      </c>
      <c r="E26" s="257">
        <f t="shared" si="5"/>
        <v>0</v>
      </c>
      <c r="F26" s="257">
        <f t="shared" si="5"/>
        <v>0</v>
      </c>
      <c r="G26" s="257">
        <f>SUM(G23:G25)</f>
        <v>0</v>
      </c>
      <c r="H26" s="257">
        <f t="shared" si="5"/>
        <v>0</v>
      </c>
      <c r="I26" s="257">
        <f t="shared" si="5"/>
        <v>0</v>
      </c>
      <c r="J26" s="257">
        <f t="shared" si="5"/>
        <v>0</v>
      </c>
      <c r="K26" s="257">
        <f t="shared" si="5"/>
        <v>0</v>
      </c>
      <c r="L26" s="257">
        <f t="shared" si="5"/>
        <v>0</v>
      </c>
      <c r="M26" s="257">
        <f t="shared" si="5"/>
        <v>0</v>
      </c>
      <c r="N26" s="257">
        <f t="shared" si="5"/>
        <v>0</v>
      </c>
      <c r="O26" s="263">
        <f>SUM(O22:O25)</f>
        <v>200000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1900000</v>
      </c>
      <c r="D28" s="255">
        <f t="shared" ref="D28:O28" si="6">D21-D26</f>
        <v>1900000</v>
      </c>
      <c r="E28" s="255">
        <f t="shared" si="6"/>
        <v>0</v>
      </c>
      <c r="F28" s="255">
        <f t="shared" si="6"/>
        <v>0</v>
      </c>
      <c r="G28" s="255">
        <f>G21-G26</f>
        <v>0</v>
      </c>
      <c r="H28" s="255">
        <f t="shared" si="6"/>
        <v>0</v>
      </c>
      <c r="I28" s="255">
        <f t="shared" si="6"/>
        <v>0</v>
      </c>
      <c r="J28" s="255">
        <f t="shared" si="6"/>
        <v>0</v>
      </c>
      <c r="K28" s="255">
        <f t="shared" si="6"/>
        <v>0</v>
      </c>
      <c r="L28" s="255">
        <f t="shared" si="6"/>
        <v>0</v>
      </c>
      <c r="M28" s="255">
        <f t="shared" si="6"/>
        <v>0</v>
      </c>
      <c r="N28" s="255">
        <f t="shared" si="6"/>
        <v>0</v>
      </c>
      <c r="O28" s="255">
        <f t="shared" si="6"/>
        <v>3800000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22800000</v>
      </c>
      <c r="D30" s="253">
        <f>SUM(C28:D28)*D10/D11</f>
        <v>22800000</v>
      </c>
      <c r="E30" s="253">
        <f>SUM(C28:E28)*E10/E11</f>
        <v>15200000</v>
      </c>
      <c r="F30" s="253">
        <f>SUM(C28:F28)*F10/F11</f>
        <v>11400000</v>
      </c>
      <c r="G30" s="253">
        <f>SUM(C28:G28)*G10/G11</f>
        <v>9120000</v>
      </c>
      <c r="H30" s="253">
        <f>SUM(C28:H28)*H10/H11</f>
        <v>7600000</v>
      </c>
      <c r="I30" s="253">
        <f>SUM(C28:I28)*I10/I11</f>
        <v>6514285.7142857146</v>
      </c>
      <c r="J30" s="253">
        <f>SUM(C28:J28)*J10/J11</f>
        <v>5700000</v>
      </c>
      <c r="K30" s="253">
        <f>SUM(C28:K28)*K10/K11</f>
        <v>5066666.666666667</v>
      </c>
      <c r="L30" s="253">
        <f>SUM(C28:L28)*L10/L11</f>
        <v>4560000</v>
      </c>
      <c r="M30" s="253">
        <f>SUM(C28:M28)*M10/M11</f>
        <v>4145454.5454545454</v>
      </c>
      <c r="N30" s="253">
        <f>SUM(C28:N28)*N10/N11</f>
        <v>3800000</v>
      </c>
      <c r="O30" s="254">
        <f>O28</f>
        <v>3800000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7">IF(C30&gt;0,VLOOKUP(C9,$B$47:$C$59,2,FALSE),0)</f>
        <v>54000000</v>
      </c>
      <c r="D31" s="255">
        <f t="shared" si="7"/>
        <v>54000000</v>
      </c>
      <c r="E31" s="255">
        <f t="shared" si="7"/>
        <v>54000000</v>
      </c>
      <c r="F31" s="255">
        <f t="shared" si="7"/>
        <v>54000000</v>
      </c>
      <c r="G31" s="255">
        <f>IF(G30&gt;0,VLOOKUP(G9,$B$47:$C$59,2,FALSE),0)</f>
        <v>54000000</v>
      </c>
      <c r="H31" s="255">
        <f t="shared" si="7"/>
        <v>54000000</v>
      </c>
      <c r="I31" s="255">
        <f t="shared" si="7"/>
        <v>54000000</v>
      </c>
      <c r="J31" s="255">
        <f t="shared" si="7"/>
        <v>54000000</v>
      </c>
      <c r="K31" s="255">
        <f t="shared" si="7"/>
        <v>54000000</v>
      </c>
      <c r="L31" s="255">
        <f t="shared" si="7"/>
        <v>54000000</v>
      </c>
      <c r="M31" s="255">
        <f t="shared" si="7"/>
        <v>54000000</v>
      </c>
      <c r="N31" s="255">
        <f t="shared" si="7"/>
        <v>54000000</v>
      </c>
      <c r="O31" s="255">
        <f t="shared" si="7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8">ROUNDDOWN(IF(D30&lt;=D31,0,IF(D30&gt;D31,D30-D31)),-3)</f>
        <v>0</v>
      </c>
      <c r="E32" s="256">
        <f t="shared" si="8"/>
        <v>0</v>
      </c>
      <c r="F32" s="256">
        <f t="shared" si="8"/>
        <v>0</v>
      </c>
      <c r="G32" s="256">
        <f t="shared" si="8"/>
        <v>0</v>
      </c>
      <c r="H32" s="256">
        <f t="shared" si="8"/>
        <v>0</v>
      </c>
      <c r="I32" s="256">
        <f>ROUNDDOWN(IF(I30&lt;=I31,0,IF(I30&gt;I31,I30-I31)),-3)</f>
        <v>0</v>
      </c>
      <c r="J32" s="256">
        <f t="shared" si="8"/>
        <v>0</v>
      </c>
      <c r="K32" s="256">
        <f t="shared" si="8"/>
        <v>0</v>
      </c>
      <c r="L32" s="256">
        <f t="shared" si="8"/>
        <v>0</v>
      </c>
      <c r="M32" s="256">
        <f t="shared" si="8"/>
        <v>0</v>
      </c>
      <c r="N32" s="256">
        <f t="shared" si="8"/>
        <v>0</v>
      </c>
      <c r="O32" s="256">
        <f t="shared" si="8"/>
        <v>0</v>
      </c>
      <c r="P32" s="103">
        <f t="shared" ref="D32:Q32" si="9">ROUNDDOWN(IF(P30&lt;=P31,0,IF(P30&gt;P31,P30-P31)),-3)</f>
        <v>0</v>
      </c>
      <c r="Q32" s="103">
        <f t="shared" si="9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0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0"/>
        <v>0</v>
      </c>
      <c r="E33" s="257">
        <f t="shared" si="10"/>
        <v>0</v>
      </c>
      <c r="F33" s="257">
        <f t="shared" si="10"/>
        <v>0</v>
      </c>
      <c r="G33" s="257">
        <f t="shared" si="10"/>
        <v>0</v>
      </c>
      <c r="H33" s="257">
        <f t="shared" si="10"/>
        <v>0</v>
      </c>
      <c r="I33" s="257">
        <f t="shared" si="10"/>
        <v>0</v>
      </c>
      <c r="J33" s="257">
        <f t="shared" si="10"/>
        <v>0</v>
      </c>
      <c r="K33" s="257">
        <f t="shared" si="10"/>
        <v>0</v>
      </c>
      <c r="L33" s="257">
        <f t="shared" si="10"/>
        <v>0</v>
      </c>
      <c r="M33" s="257">
        <f t="shared" si="10"/>
        <v>0</v>
      </c>
      <c r="N33" s="257">
        <f t="shared" si="10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103">
        <f>IF(P32&lt;0,0,IF(P32&lt;50000000,P32*5%,IF(P32&lt;250000000,(P32-50000000)*15%+2500000,IF(P32&lt;500000000,(P32-250000000)*25%+32500000,IF(P32&gt;500000000,(P32-500000000)*30%+95000000)))))</f>
        <v>0</v>
      </c>
      <c r="Q33" s="103">
        <f>IF(Q32&lt;0,0,IF(Q32&lt;50000000,Q32*5%,IF(Q32&lt;250000000,(Q32-50000000)*15%+2500000,IF(Q32&lt;500000000,(Q32-250000000)*25%+32500000,IF(Q32&gt;500000000,(Q32-500000000)*30%+95000000)))))</f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1">D33-D34</f>
        <v>0</v>
      </c>
      <c r="E35" s="255">
        <f t="shared" si="11"/>
        <v>0</v>
      </c>
      <c r="F35" s="255">
        <f t="shared" si="11"/>
        <v>0</v>
      </c>
      <c r="G35" s="255">
        <f t="shared" si="11"/>
        <v>0</v>
      </c>
      <c r="H35" s="255">
        <f t="shared" si="11"/>
        <v>0</v>
      </c>
      <c r="I35" s="255">
        <f t="shared" si="11"/>
        <v>0</v>
      </c>
      <c r="J35" s="255">
        <f t="shared" si="11"/>
        <v>0</v>
      </c>
      <c r="K35" s="255">
        <f t="shared" si="11"/>
        <v>0</v>
      </c>
      <c r="L35" s="255">
        <f t="shared" si="11"/>
        <v>0</v>
      </c>
      <c r="M35" s="255">
        <f t="shared" si="11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2">C21-C25-C36</f>
        <v>2000000</v>
      </c>
      <c r="D41" s="50">
        <f t="shared" si="12"/>
        <v>2000000</v>
      </c>
      <c r="E41" s="50">
        <f t="shared" si="12"/>
        <v>0</v>
      </c>
      <c r="F41" s="50">
        <f t="shared" si="12"/>
        <v>0</v>
      </c>
      <c r="G41" s="50">
        <f t="shared" si="12"/>
        <v>0</v>
      </c>
      <c r="H41" s="50">
        <f t="shared" si="12"/>
        <v>0</v>
      </c>
      <c r="I41" s="50">
        <f t="shared" si="12"/>
        <v>0</v>
      </c>
      <c r="J41" s="50">
        <f t="shared" si="12"/>
        <v>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0</v>
      </c>
      <c r="O41" s="50">
        <f>O21-O25-O36-O38</f>
        <v>4000000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13:N13 D14:N18 P13:Q18" xr:uid="{00000000-0002-0000-4E00-000000000000}"/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V59"/>
  <sheetViews>
    <sheetView topLeftCell="E1" zoomScale="60" workbookViewId="0">
      <selection activeCell="M25" sqref="M25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588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1500000</v>
      </c>
      <c r="D13" s="92">
        <v>1500000</v>
      </c>
      <c r="E13" s="162">
        <v>1500000</v>
      </c>
      <c r="F13" s="92">
        <v>1500000</v>
      </c>
      <c r="G13" s="92">
        <v>1500000</v>
      </c>
      <c r="H13" s="92">
        <v>1500000</v>
      </c>
      <c r="I13" s="92">
        <v>1500000</v>
      </c>
      <c r="J13" s="92">
        <v>1500000</v>
      </c>
      <c r="K13" s="92">
        <v>2000000</v>
      </c>
      <c r="L13" s="92">
        <v>2000000</v>
      </c>
      <c r="M13" s="92">
        <v>2000000</v>
      </c>
      <c r="N13" s="92">
        <v>2000000</v>
      </c>
      <c r="O13" s="32">
        <f>SUM(C13:N13)</f>
        <v>20000000</v>
      </c>
      <c r="P13" s="123">
        <f t="shared" ref="P13:P18" si="1">Q13</f>
        <v>18000000</v>
      </c>
      <c r="Q13" s="123">
        <f>F13*12</f>
        <v>18000000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 t="shared" ref="C19:N19" si="3">SUM(C13:C18)</f>
        <v>1500000</v>
      </c>
      <c r="D19" s="37">
        <f t="shared" si="3"/>
        <v>1500000</v>
      </c>
      <c r="E19" s="37">
        <f t="shared" si="3"/>
        <v>1500000</v>
      </c>
      <c r="F19" s="37">
        <f t="shared" si="3"/>
        <v>1500000</v>
      </c>
      <c r="G19" s="37">
        <f t="shared" si="3"/>
        <v>1500000</v>
      </c>
      <c r="H19" s="37">
        <f t="shared" si="3"/>
        <v>1500000</v>
      </c>
      <c r="I19" s="37">
        <f t="shared" si="3"/>
        <v>1500000</v>
      </c>
      <c r="J19" s="37">
        <f t="shared" si="3"/>
        <v>1500000</v>
      </c>
      <c r="K19" s="37">
        <f t="shared" si="3"/>
        <v>2000000</v>
      </c>
      <c r="L19" s="37">
        <f t="shared" si="3"/>
        <v>2000000</v>
      </c>
      <c r="M19" s="37">
        <f t="shared" si="3"/>
        <v>2000000</v>
      </c>
      <c r="N19" s="37">
        <f t="shared" si="3"/>
        <v>2000000</v>
      </c>
      <c r="O19" s="38">
        <f>SUM(O13:O18)</f>
        <v>20000000</v>
      </c>
      <c r="P19" s="103">
        <f>SUM(P13:P18)</f>
        <v>18000000</v>
      </c>
      <c r="Q19" s="103">
        <f>SUM(Q13:Q18)</f>
        <v>18000000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1000000</v>
      </c>
      <c r="P20" s="110">
        <v>1000000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1500000</v>
      </c>
      <c r="D21" s="259">
        <f t="shared" ref="D21:N21" si="4">D19+D20</f>
        <v>1500000</v>
      </c>
      <c r="E21" s="259">
        <f t="shared" si="4"/>
        <v>1500000</v>
      </c>
      <c r="F21" s="259">
        <f t="shared" si="4"/>
        <v>1500000</v>
      </c>
      <c r="G21" s="259">
        <f>G19+G20</f>
        <v>1500000</v>
      </c>
      <c r="H21" s="259">
        <f t="shared" si="4"/>
        <v>1500000</v>
      </c>
      <c r="I21" s="259">
        <f t="shared" si="4"/>
        <v>1500000</v>
      </c>
      <c r="J21" s="259">
        <f t="shared" si="4"/>
        <v>1500000</v>
      </c>
      <c r="K21" s="259">
        <f t="shared" si="4"/>
        <v>2000000</v>
      </c>
      <c r="L21" s="259">
        <f t="shared" si="4"/>
        <v>2000000</v>
      </c>
      <c r="M21" s="259">
        <f t="shared" si="4"/>
        <v>2000000</v>
      </c>
      <c r="N21" s="259">
        <f t="shared" si="4"/>
        <v>2000000</v>
      </c>
      <c r="O21" s="259">
        <f>O19+O20</f>
        <v>21000000</v>
      </c>
      <c r="P21" s="103">
        <f>P19+P20</f>
        <v>19000000</v>
      </c>
      <c r="Q21" s="103">
        <f>Q19+Q20</f>
        <v>18000000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75000</v>
      </c>
      <c r="D23" s="257">
        <f t="shared" ref="D23:O23" si="5">IF(D21*5%&lt;500000,D21*5%,500000)</f>
        <v>75000</v>
      </c>
      <c r="E23" s="257">
        <f t="shared" si="5"/>
        <v>75000</v>
      </c>
      <c r="F23" s="257">
        <f t="shared" si="5"/>
        <v>75000</v>
      </c>
      <c r="G23" s="257">
        <f>IF(G21*5%&lt;500000,G21*5%,500000)</f>
        <v>75000</v>
      </c>
      <c r="H23" s="257">
        <f t="shared" si="5"/>
        <v>75000</v>
      </c>
      <c r="I23" s="257">
        <f t="shared" si="5"/>
        <v>75000</v>
      </c>
      <c r="J23" s="257">
        <f t="shared" si="5"/>
        <v>75000</v>
      </c>
      <c r="K23" s="257">
        <f t="shared" si="5"/>
        <v>100000</v>
      </c>
      <c r="L23" s="257">
        <f t="shared" si="5"/>
        <v>100000</v>
      </c>
      <c r="M23" s="257">
        <f t="shared" si="5"/>
        <v>100000</v>
      </c>
      <c r="N23" s="257">
        <f t="shared" si="5"/>
        <v>100000</v>
      </c>
      <c r="O23" s="257">
        <f>IF(O21*5%&lt;6000000,O21*5%,6000000)</f>
        <v>1050000</v>
      </c>
      <c r="P23" s="110">
        <f>IF(P21*5%&lt;6000000,P21*5%,6000000)</f>
        <v>950000</v>
      </c>
      <c r="Q23" s="110">
        <f>IF(Q21*5%&lt;6000000,Q21*5%,6000000)</f>
        <v>900000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75000</v>
      </c>
      <c r="D26" s="257">
        <f t="shared" si="6"/>
        <v>75000</v>
      </c>
      <c r="E26" s="257">
        <f t="shared" si="6"/>
        <v>75000</v>
      </c>
      <c r="F26" s="257">
        <f t="shared" si="6"/>
        <v>75000</v>
      </c>
      <c r="G26" s="257">
        <f>SUM(G23:G25)</f>
        <v>75000</v>
      </c>
      <c r="H26" s="257">
        <f t="shared" si="6"/>
        <v>75000</v>
      </c>
      <c r="I26" s="257">
        <f t="shared" si="6"/>
        <v>75000</v>
      </c>
      <c r="J26" s="257">
        <f t="shared" si="6"/>
        <v>75000</v>
      </c>
      <c r="K26" s="257">
        <f t="shared" si="6"/>
        <v>100000</v>
      </c>
      <c r="L26" s="257">
        <f t="shared" si="6"/>
        <v>100000</v>
      </c>
      <c r="M26" s="257">
        <f t="shared" si="6"/>
        <v>100000</v>
      </c>
      <c r="N26" s="257">
        <f t="shared" si="6"/>
        <v>100000</v>
      </c>
      <c r="O26" s="263">
        <f>SUM(O22:O25)</f>
        <v>1050000</v>
      </c>
      <c r="P26" s="103">
        <f>SUM(P23:P25)</f>
        <v>950000</v>
      </c>
      <c r="Q26" s="103">
        <f>SUM(Q23:Q25)</f>
        <v>900000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1425000</v>
      </c>
      <c r="D28" s="255">
        <f t="shared" ref="D28:O28" si="7">D21-D26</f>
        <v>1425000</v>
      </c>
      <c r="E28" s="255">
        <f t="shared" si="7"/>
        <v>1425000</v>
      </c>
      <c r="F28" s="255">
        <f t="shared" si="7"/>
        <v>1425000</v>
      </c>
      <c r="G28" s="255">
        <f>G21-G26</f>
        <v>1425000</v>
      </c>
      <c r="H28" s="255">
        <f t="shared" si="7"/>
        <v>1425000</v>
      </c>
      <c r="I28" s="255">
        <f t="shared" si="7"/>
        <v>1425000</v>
      </c>
      <c r="J28" s="255">
        <f t="shared" si="7"/>
        <v>1425000</v>
      </c>
      <c r="K28" s="255">
        <f t="shared" si="7"/>
        <v>1900000</v>
      </c>
      <c r="L28" s="255">
        <f t="shared" si="7"/>
        <v>1900000</v>
      </c>
      <c r="M28" s="255">
        <f t="shared" si="7"/>
        <v>1900000</v>
      </c>
      <c r="N28" s="255">
        <f t="shared" si="7"/>
        <v>1900000</v>
      </c>
      <c r="O28" s="255">
        <f t="shared" si="7"/>
        <v>19950000</v>
      </c>
      <c r="P28" s="103">
        <f>P21-P26</f>
        <v>18050000</v>
      </c>
      <c r="Q28" s="103">
        <f>Q21-Q26</f>
        <v>17100000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17100000</v>
      </c>
      <c r="D30" s="253">
        <f>SUM(C28:D28)*D10/D11</f>
        <v>17100000</v>
      </c>
      <c r="E30" s="253">
        <f>SUM(C28:E28)*E10/E11</f>
        <v>17100000</v>
      </c>
      <c r="F30" s="253">
        <f>SUM(C28:F28)*F10/F11</f>
        <v>17100000</v>
      </c>
      <c r="G30" s="253">
        <f>SUM(C28:G28)*G10/G11</f>
        <v>17100000</v>
      </c>
      <c r="H30" s="253">
        <f>SUM(C28:H28)*H10/H11</f>
        <v>17100000</v>
      </c>
      <c r="I30" s="253">
        <f>SUM(C28:I28)*I10/I11</f>
        <v>17100000</v>
      </c>
      <c r="J30" s="253">
        <f>SUM(C28:J28)*J10/J11</f>
        <v>17100000</v>
      </c>
      <c r="K30" s="253">
        <f>SUM(C28:K28)*K10/K11</f>
        <v>17733333.333333332</v>
      </c>
      <c r="L30" s="253">
        <f>SUM(C28:L28)*L10/L11</f>
        <v>18240000</v>
      </c>
      <c r="M30" s="253">
        <f>SUM(C28:M28)*M10/M11</f>
        <v>18654545.454545453</v>
      </c>
      <c r="N30" s="253">
        <f>SUM(C28:N28)*N10/N11</f>
        <v>19000000</v>
      </c>
      <c r="O30" s="254">
        <f>O28</f>
        <v>19950000</v>
      </c>
      <c r="P30" s="108">
        <f>P28</f>
        <v>18050000</v>
      </c>
      <c r="Q30" s="108">
        <f>Q28</f>
        <v>17100000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1500000</v>
      </c>
      <c r="D41" s="50">
        <f t="shared" si="14"/>
        <v>1500000</v>
      </c>
      <c r="E41" s="50">
        <f t="shared" si="14"/>
        <v>1500000</v>
      </c>
      <c r="F41" s="50">
        <f t="shared" si="14"/>
        <v>1500000</v>
      </c>
      <c r="G41" s="50">
        <f t="shared" si="14"/>
        <v>1500000</v>
      </c>
      <c r="H41" s="50">
        <f t="shared" si="14"/>
        <v>1500000</v>
      </c>
      <c r="I41" s="50">
        <f t="shared" si="14"/>
        <v>1500000</v>
      </c>
      <c r="J41" s="50">
        <f t="shared" si="14"/>
        <v>1500000</v>
      </c>
      <c r="K41" s="50">
        <f>K21-K25-K36</f>
        <v>2000000</v>
      </c>
      <c r="L41" s="50">
        <f>L21-L25-L36</f>
        <v>2000000</v>
      </c>
      <c r="M41" s="50">
        <f>M21-M25-M36</f>
        <v>2000000</v>
      </c>
      <c r="N41" s="50">
        <f>N21-N25-N36</f>
        <v>2000000</v>
      </c>
      <c r="O41" s="50">
        <f>O21-O25-O36-O38</f>
        <v>21000000</v>
      </c>
      <c r="P41" s="126">
        <f>P21-P25-P36</f>
        <v>19000000</v>
      </c>
      <c r="Q41" s="126">
        <f>Q21-Q25-Q36</f>
        <v>18000000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4F00-000000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6"/>
  <dimension ref="A1:V59"/>
  <sheetViews>
    <sheetView zoomScale="58" zoomScaleNormal="100" workbookViewId="0">
      <selection activeCell="L13" sqref="L13"/>
    </sheetView>
  </sheetViews>
  <sheetFormatPr defaultColWidth="9.140625" defaultRowHeight="15" x14ac:dyDescent="0.25"/>
  <cols>
    <col min="1" max="1" width="8.5703125" style="3" bestFit="1" customWidth="1"/>
    <col min="2" max="2" width="62.42578125" style="3" customWidth="1"/>
    <col min="3" max="5" width="14" style="93" bestFit="1" customWidth="1"/>
    <col min="6" max="6" width="14.28515625" style="93" customWidth="1"/>
    <col min="7" max="7" width="16.42578125" style="93" customWidth="1"/>
    <col min="8" max="8" width="14.140625" style="93" customWidth="1"/>
    <col min="9" max="13" width="13.42578125" style="93" bestFit="1" customWidth="1"/>
    <col min="14" max="14" width="14.7109375" style="93" customWidth="1"/>
    <col min="15" max="15" width="14" style="9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580</v>
      </c>
      <c r="C1" s="18"/>
      <c r="D1" s="18"/>
      <c r="E1" s="18"/>
      <c r="F1" s="18"/>
      <c r="G1" s="18"/>
      <c r="H1" s="18"/>
      <c r="I1" s="18"/>
      <c r="J1" s="18"/>
      <c r="K1" s="18"/>
      <c r="O1" s="18"/>
      <c r="P1" s="94"/>
      <c r="Q1" s="94"/>
    </row>
    <row r="2" spans="1:17" x14ac:dyDescent="0.25">
      <c r="A2" s="6" t="s">
        <v>38</v>
      </c>
      <c r="B2" s="4"/>
      <c r="C2" s="18"/>
      <c r="D2" s="18"/>
      <c r="E2" s="18"/>
      <c r="F2" s="18"/>
      <c r="G2" s="18"/>
      <c r="H2" s="18"/>
      <c r="I2" s="18"/>
      <c r="J2" s="18"/>
      <c r="K2" s="18"/>
      <c r="O2" s="18"/>
      <c r="P2" s="94"/>
      <c r="Q2" s="94"/>
    </row>
    <row r="3" spans="1:17" x14ac:dyDescent="0.25">
      <c r="A3" s="6" t="s">
        <v>53</v>
      </c>
      <c r="B3" s="133" t="s">
        <v>64</v>
      </c>
      <c r="C3" s="18"/>
      <c r="D3" s="18"/>
      <c r="E3" s="18"/>
      <c r="F3" s="18"/>
      <c r="G3" s="18"/>
      <c r="H3" s="18"/>
      <c r="I3" s="18"/>
      <c r="J3" s="18"/>
      <c r="K3" s="18"/>
      <c r="O3" s="18"/>
      <c r="P3" s="94"/>
      <c r="Q3" s="94"/>
    </row>
    <row r="4" spans="1:17" x14ac:dyDescent="0.25">
      <c r="A4" s="5" t="s">
        <v>36</v>
      </c>
      <c r="B4" s="17"/>
      <c r="C4" s="18"/>
      <c r="D4" s="18"/>
      <c r="E4" s="18"/>
      <c r="F4" s="18"/>
      <c r="G4" s="18"/>
      <c r="H4" s="18"/>
      <c r="I4" s="18"/>
      <c r="J4" s="18"/>
      <c r="K4" s="18"/>
      <c r="O4" s="18"/>
      <c r="P4" s="94"/>
      <c r="Q4" s="94"/>
    </row>
    <row r="5" spans="1:17" x14ac:dyDescent="0.25">
      <c r="A5" s="6" t="s">
        <v>77</v>
      </c>
      <c r="B5" s="4"/>
      <c r="C5" s="18"/>
      <c r="D5" s="18"/>
      <c r="E5" s="18"/>
      <c r="F5" s="18"/>
      <c r="G5" s="18"/>
      <c r="H5" s="18"/>
      <c r="I5" s="18"/>
      <c r="J5" s="18"/>
      <c r="K5" s="18"/>
      <c r="O5" s="18"/>
      <c r="P5" s="94"/>
      <c r="Q5" s="94"/>
    </row>
    <row r="6" spans="1:17" x14ac:dyDescent="0.25">
      <c r="A6" s="6"/>
      <c r="B6" s="4"/>
      <c r="C6" s="18"/>
      <c r="D6" s="18"/>
      <c r="E6" s="18"/>
      <c r="F6" s="18"/>
      <c r="G6" s="18"/>
      <c r="H6" s="18"/>
      <c r="I6" s="18"/>
      <c r="J6" s="18"/>
      <c r="K6" s="18"/>
      <c r="O6" s="18"/>
      <c r="P6" s="94"/>
      <c r="Q6" s="94"/>
    </row>
    <row r="7" spans="1:17" x14ac:dyDescent="0.25">
      <c r="A7" s="6"/>
      <c r="B7" s="4"/>
      <c r="C7" s="18"/>
      <c r="D7" s="18"/>
      <c r="E7" s="18"/>
      <c r="F7" s="18"/>
      <c r="G7" s="18"/>
      <c r="H7" s="18"/>
      <c r="I7" s="18"/>
      <c r="J7" s="18"/>
      <c r="K7" s="18"/>
      <c r="O7" s="18"/>
      <c r="P7" s="94"/>
      <c r="Q7" s="94"/>
    </row>
    <row r="8" spans="1:17" x14ac:dyDescent="0.25">
      <c r="A8" s="6"/>
      <c r="B8" s="4"/>
      <c r="C8" s="18"/>
      <c r="D8" s="18"/>
      <c r="E8" s="18"/>
      <c r="F8" s="18"/>
      <c r="G8" s="18"/>
      <c r="H8" s="18"/>
      <c r="I8" s="18"/>
      <c r="J8" s="18"/>
      <c r="K8" s="18"/>
      <c r="O8" s="18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97" t="s">
        <v>39</v>
      </c>
      <c r="D12" s="97" t="s">
        <v>40</v>
      </c>
      <c r="E12" s="97" t="s">
        <v>41</v>
      </c>
      <c r="F12" s="97" t="s">
        <v>2</v>
      </c>
      <c r="G12" s="97" t="s">
        <v>42</v>
      </c>
      <c r="H12" s="97" t="s">
        <v>43</v>
      </c>
      <c r="I12" s="97" t="s">
        <v>44</v>
      </c>
      <c r="J12" s="97" t="s">
        <v>45</v>
      </c>
      <c r="K12" s="97" t="s">
        <v>46</v>
      </c>
      <c r="L12" s="97" t="s">
        <v>47</v>
      </c>
      <c r="M12" s="97" t="s">
        <v>48</v>
      </c>
      <c r="N12" s="97" t="s">
        <v>49</v>
      </c>
      <c r="O12" s="97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49">
        <v>3500000</v>
      </c>
      <c r="D13" s="98"/>
      <c r="E13" s="162">
        <v>3500000</v>
      </c>
      <c r="F13" s="98">
        <v>5500000</v>
      </c>
      <c r="G13" s="98">
        <v>4000000</v>
      </c>
      <c r="H13" s="98"/>
      <c r="I13" s="98">
        <v>3500000</v>
      </c>
      <c r="J13" s="98">
        <v>3500000</v>
      </c>
      <c r="K13" s="98">
        <v>1600000</v>
      </c>
      <c r="L13" s="98">
        <v>4000000</v>
      </c>
      <c r="M13" s="98"/>
      <c r="N13" s="98"/>
      <c r="O13" s="98">
        <f>SUM(C13:N13)</f>
        <v>29100000</v>
      </c>
      <c r="P13" s="123">
        <f t="shared" ref="P13:P18" si="1">Q13</f>
        <v>66000000</v>
      </c>
      <c r="Q13" s="123">
        <f>F13*12</f>
        <v>66000000</v>
      </c>
    </row>
    <row r="14" spans="1:17" ht="20.100000000000001" customHeight="1" x14ac:dyDescent="0.25">
      <c r="A14" s="30">
        <v>2</v>
      </c>
      <c r="B14" s="31" t="s">
        <v>10</v>
      </c>
      <c r="C14" s="99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99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99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99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99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124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100">
        <f>SUM(C13:C18)</f>
        <v>3500000</v>
      </c>
      <c r="D19" s="100">
        <f t="shared" ref="D19:L19" si="3">SUM(D13:D18)</f>
        <v>0</v>
      </c>
      <c r="E19" s="100">
        <f t="shared" si="3"/>
        <v>3500000</v>
      </c>
      <c r="F19" s="100">
        <f t="shared" si="3"/>
        <v>5500000</v>
      </c>
      <c r="G19" s="100">
        <f t="shared" si="3"/>
        <v>4000000</v>
      </c>
      <c r="H19" s="100"/>
      <c r="I19" s="100">
        <f t="shared" si="3"/>
        <v>3500000</v>
      </c>
      <c r="J19" s="100">
        <f t="shared" si="3"/>
        <v>3500000</v>
      </c>
      <c r="K19" s="100">
        <f t="shared" si="3"/>
        <v>1600000</v>
      </c>
      <c r="L19" s="100">
        <f t="shared" si="3"/>
        <v>4000000</v>
      </c>
      <c r="M19" s="100"/>
      <c r="N19" s="100"/>
      <c r="O19" s="101">
        <f>SUM(O13:O18)</f>
        <v>29100000</v>
      </c>
      <c r="P19" s="103">
        <f>SUM(P13:P18)</f>
        <v>66000000</v>
      </c>
      <c r="Q19" s="103">
        <f>SUM(Q13:Q18)</f>
        <v>66000000</v>
      </c>
    </row>
    <row r="20" spans="1:22" ht="20.100000000000001" customHeight="1" x14ac:dyDescent="0.25">
      <c r="A20" s="30">
        <v>8</v>
      </c>
      <c r="B20" s="31" t="s">
        <v>16</v>
      </c>
      <c r="C20" s="99"/>
      <c r="D20" s="99"/>
      <c r="E20" s="99"/>
      <c r="F20" s="99"/>
      <c r="G20" s="99"/>
      <c r="H20" s="99"/>
      <c r="I20" s="99"/>
      <c r="J20" s="99"/>
      <c r="K20" s="102"/>
      <c r="L20" s="102"/>
      <c r="M20" s="102"/>
      <c r="N20" s="102"/>
      <c r="O20" s="98"/>
      <c r="P20" s="110">
        <v>2000000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3500000</v>
      </c>
      <c r="D21" s="259">
        <f t="shared" ref="D21:N21" si="4">D19+D20</f>
        <v>0</v>
      </c>
      <c r="E21" s="259">
        <f t="shared" si="4"/>
        <v>3500000</v>
      </c>
      <c r="F21" s="259">
        <f t="shared" si="4"/>
        <v>5500000</v>
      </c>
      <c r="G21" s="259">
        <f>G19+G20</f>
        <v>4000000</v>
      </c>
      <c r="H21" s="259">
        <f t="shared" si="4"/>
        <v>0</v>
      </c>
      <c r="I21" s="259">
        <f t="shared" si="4"/>
        <v>3500000</v>
      </c>
      <c r="J21" s="259">
        <f t="shared" si="4"/>
        <v>3500000</v>
      </c>
      <c r="K21" s="259">
        <f t="shared" si="4"/>
        <v>1600000</v>
      </c>
      <c r="L21" s="259">
        <f t="shared" si="4"/>
        <v>4000000</v>
      </c>
      <c r="M21" s="259">
        <f t="shared" si="4"/>
        <v>0</v>
      </c>
      <c r="N21" s="259">
        <f t="shared" si="4"/>
        <v>0</v>
      </c>
      <c r="O21" s="259">
        <f>O19+O20</f>
        <v>29100000</v>
      </c>
      <c r="P21" s="103">
        <f>P19+P20</f>
        <v>68000000</v>
      </c>
      <c r="Q21" s="103">
        <f>Q19+Q20</f>
        <v>66000000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175000</v>
      </c>
      <c r="D23" s="257">
        <f t="shared" ref="D23:N23" si="5">IF(D21*5%&lt;500000,D21*5%,500000)</f>
        <v>0</v>
      </c>
      <c r="E23" s="257">
        <f t="shared" si="5"/>
        <v>175000</v>
      </c>
      <c r="F23" s="257">
        <f t="shared" si="5"/>
        <v>275000</v>
      </c>
      <c r="G23" s="257">
        <f>IF(G21*5%&lt;500000,G21*5%,500000)</f>
        <v>200000</v>
      </c>
      <c r="H23" s="257">
        <f t="shared" si="5"/>
        <v>0</v>
      </c>
      <c r="I23" s="257">
        <f t="shared" si="5"/>
        <v>175000</v>
      </c>
      <c r="J23" s="257">
        <f t="shared" si="5"/>
        <v>175000</v>
      </c>
      <c r="K23" s="257">
        <f t="shared" si="5"/>
        <v>80000</v>
      </c>
      <c r="L23" s="257">
        <f t="shared" si="5"/>
        <v>200000</v>
      </c>
      <c r="M23" s="257">
        <f t="shared" si="5"/>
        <v>0</v>
      </c>
      <c r="N23" s="257">
        <f t="shared" si="5"/>
        <v>0</v>
      </c>
      <c r="O23" s="258">
        <f>SUM(C23:N23)</f>
        <v>1455000</v>
      </c>
      <c r="P23" s="110">
        <f>IF(P21*5%&lt;6000000,P21*5%,6000000)</f>
        <v>3400000</v>
      </c>
      <c r="Q23" s="110">
        <f>IF(Q21*5%&lt;6000000,Q21*5%,6000000)</f>
        <v>3300000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175000</v>
      </c>
      <c r="D26" s="257">
        <f t="shared" si="6"/>
        <v>0</v>
      </c>
      <c r="E26" s="257">
        <f t="shared" si="6"/>
        <v>175000</v>
      </c>
      <c r="F26" s="257">
        <f t="shared" si="6"/>
        <v>275000</v>
      </c>
      <c r="G26" s="257">
        <f>SUM(G23:G25)</f>
        <v>200000</v>
      </c>
      <c r="H26" s="257">
        <f t="shared" si="6"/>
        <v>0</v>
      </c>
      <c r="I26" s="257">
        <f t="shared" si="6"/>
        <v>175000</v>
      </c>
      <c r="J26" s="257">
        <f t="shared" si="6"/>
        <v>175000</v>
      </c>
      <c r="K26" s="257">
        <f t="shared" si="6"/>
        <v>80000</v>
      </c>
      <c r="L26" s="257">
        <f t="shared" si="6"/>
        <v>200000</v>
      </c>
      <c r="M26" s="257">
        <f t="shared" si="6"/>
        <v>0</v>
      </c>
      <c r="N26" s="257">
        <f t="shared" si="6"/>
        <v>0</v>
      </c>
      <c r="O26" s="263">
        <f>SUM(O22:O25)</f>
        <v>1455000</v>
      </c>
      <c r="P26" s="103">
        <f>SUM(P23:P25)</f>
        <v>3400000</v>
      </c>
      <c r="Q26" s="103">
        <f>SUM(Q23:Q25)</f>
        <v>3300000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3325000</v>
      </c>
      <c r="D28" s="255">
        <f t="shared" ref="D28:O28" si="7">D21-D26</f>
        <v>0</v>
      </c>
      <c r="E28" s="255">
        <f t="shared" si="7"/>
        <v>3325000</v>
      </c>
      <c r="F28" s="255">
        <f t="shared" si="7"/>
        <v>5225000</v>
      </c>
      <c r="G28" s="255">
        <f>G21-G26</f>
        <v>3800000</v>
      </c>
      <c r="H28" s="255">
        <f t="shared" si="7"/>
        <v>0</v>
      </c>
      <c r="I28" s="255">
        <f t="shared" si="7"/>
        <v>3325000</v>
      </c>
      <c r="J28" s="255">
        <f t="shared" si="7"/>
        <v>3325000</v>
      </c>
      <c r="K28" s="255">
        <f t="shared" si="7"/>
        <v>1520000</v>
      </c>
      <c r="L28" s="255">
        <f t="shared" si="7"/>
        <v>3800000</v>
      </c>
      <c r="M28" s="255">
        <f t="shared" si="7"/>
        <v>0</v>
      </c>
      <c r="N28" s="255">
        <f t="shared" si="7"/>
        <v>0</v>
      </c>
      <c r="O28" s="255">
        <f t="shared" si="7"/>
        <v>27645000</v>
      </c>
      <c r="P28" s="103">
        <f>P21-P26</f>
        <v>64600000</v>
      </c>
      <c r="Q28" s="103">
        <f>Q21-Q26</f>
        <v>62700000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39900000</v>
      </c>
      <c r="D30" s="253">
        <f>SUM(C28:D28)*D10/D11</f>
        <v>19950000</v>
      </c>
      <c r="E30" s="253">
        <f>SUM(C28:E28)*E10/E11</f>
        <v>26600000</v>
      </c>
      <c r="F30" s="253">
        <f>SUM(C28:F28)*F10/F11</f>
        <v>35625000</v>
      </c>
      <c r="G30" s="253">
        <f>SUM(C28:G28)*G10/G11</f>
        <v>37620000</v>
      </c>
      <c r="H30" s="253">
        <f>SUM(C28:H28)*H10/H11</f>
        <v>31350000</v>
      </c>
      <c r="I30" s="253">
        <f>SUM(C28:I28)*I10/I11</f>
        <v>32571428.571428571</v>
      </c>
      <c r="J30" s="253">
        <f>SUM(C28:J28)*J10/J11</f>
        <v>33487500</v>
      </c>
      <c r="K30" s="253">
        <f>SUM(C28:K28)*K10/K11</f>
        <v>31793333.333333332</v>
      </c>
      <c r="L30" s="253">
        <f>SUM(C28:L28)*L10/L11</f>
        <v>33174000</v>
      </c>
      <c r="M30" s="253">
        <f>SUM(C28:M28)*M10/M11</f>
        <v>30158181.818181816</v>
      </c>
      <c r="N30" s="253">
        <f>SUM(C28:N28)*N10/N11</f>
        <v>27645000</v>
      </c>
      <c r="O30" s="254">
        <f>O28</f>
        <v>27645000</v>
      </c>
      <c r="P30" s="108">
        <f>P28</f>
        <v>64600000</v>
      </c>
      <c r="Q30" s="108">
        <f>Q28</f>
        <v>62700000</v>
      </c>
      <c r="R30" s="21"/>
      <c r="S30" s="21"/>
      <c r="T30" s="21"/>
      <c r="U30" s="21"/>
      <c r="V30" s="21"/>
    </row>
    <row r="31" spans="1:22" s="134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P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</f>
        <v>0</v>
      </c>
      <c r="D36" s="264">
        <f>(D35/D10*D11-SUM(C36))</f>
        <v>0</v>
      </c>
      <c r="E36" s="264">
        <f>(E35/E10*E11-SUM(C36:D36))</f>
        <v>0</v>
      </c>
      <c r="F36" s="264">
        <f>(F35/F10*F11-SUM(C36:E36))</f>
        <v>0</v>
      </c>
      <c r="G36" s="264">
        <f>(G35/G10*G11-SUM(C36:F36))</f>
        <v>0</v>
      </c>
      <c r="H36" s="264">
        <f>(H35/H10*H11-SUM(C36:G36))</f>
        <v>0</v>
      </c>
      <c r="I36" s="264">
        <f>(I35/I10*I11-SUM(C36:H36))</f>
        <v>0</v>
      </c>
      <c r="J36" s="264">
        <f>(J35/J10*J11-SUM(C36:I36))</f>
        <v>0</v>
      </c>
      <c r="K36" s="264">
        <f>(K35/K10*K11-SUM(C36:J36))</f>
        <v>0</v>
      </c>
      <c r="L36" s="264">
        <f>(L35/L10*L11-SUM(C36:K36))</f>
        <v>0</v>
      </c>
      <c r="M36" s="264">
        <f>(M35/M10*M11-SUM(C36:L36))</f>
        <v>0</v>
      </c>
      <c r="N36" s="264">
        <f>(N35/N10*N11-SUM(C36:M36))</f>
        <v>0</v>
      </c>
      <c r="O36" s="259">
        <f>SUM(C36:N36)</f>
        <v>0</v>
      </c>
      <c r="P36" s="108"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9" t="s">
        <v>82</v>
      </c>
      <c r="P37" s="129">
        <v>0</v>
      </c>
      <c r="Q37" s="110">
        <v>0</v>
      </c>
    </row>
    <row r="38" spans="1:22" x14ac:dyDescent="0.25">
      <c r="A38" s="47"/>
      <c r="B38" s="31" t="s">
        <v>33</v>
      </c>
      <c r="C38" s="99"/>
      <c r="D38" s="99"/>
      <c r="E38" s="99"/>
      <c r="F38" s="99"/>
      <c r="G38" s="99"/>
      <c r="H38" s="99"/>
      <c r="I38" s="99"/>
      <c r="J38" s="99"/>
      <c r="K38" s="102"/>
      <c r="L38" s="102"/>
      <c r="M38" s="102"/>
      <c r="N38" s="111"/>
      <c r="O38" s="112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99"/>
      <c r="D39" s="99"/>
      <c r="E39" s="99"/>
      <c r="F39" s="99"/>
      <c r="G39" s="99"/>
      <c r="H39" s="99"/>
      <c r="I39" s="99"/>
      <c r="J39" s="99"/>
      <c r="K39" s="102"/>
      <c r="L39" s="102"/>
      <c r="M39" s="102"/>
      <c r="N39" s="111"/>
      <c r="O39" s="112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99"/>
      <c r="D40" s="99"/>
      <c r="E40" s="99"/>
      <c r="F40" s="99"/>
      <c r="G40" s="99"/>
      <c r="H40" s="99"/>
      <c r="I40" s="99"/>
      <c r="J40" s="99"/>
      <c r="K40" s="102"/>
      <c r="L40" s="102"/>
      <c r="M40" s="102"/>
      <c r="N40" s="111"/>
      <c r="O40" s="112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113">
        <f t="shared" ref="C41:J41" si="14">C21-C25-C36</f>
        <v>3500000</v>
      </c>
      <c r="D41" s="113">
        <f t="shared" si="14"/>
        <v>0</v>
      </c>
      <c r="E41" s="113">
        <f t="shared" si="14"/>
        <v>3500000</v>
      </c>
      <c r="F41" s="113">
        <f t="shared" si="14"/>
        <v>5500000</v>
      </c>
      <c r="G41" s="113">
        <f t="shared" si="14"/>
        <v>4000000</v>
      </c>
      <c r="H41" s="113">
        <f t="shared" si="14"/>
        <v>0</v>
      </c>
      <c r="I41" s="113">
        <f t="shared" si="14"/>
        <v>3500000</v>
      </c>
      <c r="J41" s="113">
        <f t="shared" si="14"/>
        <v>3500000</v>
      </c>
      <c r="K41" s="113">
        <f>K21-K25-K36</f>
        <v>1600000</v>
      </c>
      <c r="L41" s="113">
        <f>L21-L25-L36</f>
        <v>4000000</v>
      </c>
      <c r="M41" s="113">
        <f>M21-M25-M36</f>
        <v>0</v>
      </c>
      <c r="N41" s="113">
        <f>N21-N25-N36</f>
        <v>0</v>
      </c>
      <c r="O41" s="113">
        <f>O21-O25-O36-O38</f>
        <v>29100000</v>
      </c>
      <c r="P41" s="126">
        <f>P21-P25-P36</f>
        <v>68000000</v>
      </c>
      <c r="Q41" s="126">
        <f>Q21-Q25-Q36</f>
        <v>66000000</v>
      </c>
    </row>
    <row r="42" spans="1:22" x14ac:dyDescent="0.25">
      <c r="C42" s="18"/>
      <c r="D42" s="18"/>
      <c r="E42" s="18"/>
      <c r="F42" s="18"/>
      <c r="G42" s="18"/>
      <c r="H42" s="18"/>
      <c r="I42" s="18"/>
      <c r="J42" s="18"/>
      <c r="K42" s="18"/>
      <c r="O42" s="18"/>
      <c r="P42" s="114"/>
      <c r="Q42" s="114"/>
    </row>
    <row r="43" spans="1:22" x14ac:dyDescent="0.25">
      <c r="C43" s="18"/>
      <c r="D43" s="18"/>
      <c r="E43" s="18"/>
      <c r="F43" s="18"/>
      <c r="G43" s="18"/>
      <c r="H43" s="18"/>
      <c r="I43" s="18"/>
      <c r="J43" s="18"/>
      <c r="K43" s="18"/>
      <c r="O43" s="18"/>
      <c r="P43" s="114"/>
      <c r="Q43" s="114"/>
    </row>
    <row r="44" spans="1:22" x14ac:dyDescent="0.25">
      <c r="C44" s="18"/>
      <c r="D44" s="18"/>
      <c r="E44" s="18"/>
      <c r="F44" s="18"/>
      <c r="G44" s="18"/>
      <c r="H44" s="18"/>
      <c r="I44" s="18"/>
      <c r="J44" s="18"/>
      <c r="K44" s="18"/>
      <c r="O44" s="18"/>
      <c r="P44" s="114"/>
      <c r="Q44" s="114"/>
    </row>
    <row r="45" spans="1:22" x14ac:dyDescent="0.25">
      <c r="C45" s="18"/>
      <c r="D45" s="18"/>
      <c r="E45" s="18"/>
      <c r="F45" s="18"/>
      <c r="G45" s="18"/>
      <c r="H45" s="18"/>
      <c r="I45" s="18"/>
      <c r="J45" s="18"/>
      <c r="K45" s="18"/>
      <c r="O45" s="18"/>
      <c r="P45" s="114"/>
      <c r="Q45" s="114"/>
    </row>
    <row r="46" spans="1:22" x14ac:dyDescent="0.25">
      <c r="C46" s="18"/>
      <c r="D46" s="18"/>
      <c r="E46" s="18"/>
      <c r="F46" s="18"/>
      <c r="G46" s="18"/>
      <c r="H46" s="18"/>
      <c r="I46" s="18"/>
      <c r="J46" s="18"/>
      <c r="K46" s="18"/>
      <c r="O46" s="18"/>
      <c r="P46" s="114"/>
      <c r="Q46" s="114"/>
    </row>
    <row r="47" spans="1:22" s="62" customFormat="1" x14ac:dyDescent="0.25">
      <c r="B47" s="63" t="s">
        <v>65</v>
      </c>
      <c r="C47" s="115" t="s">
        <v>66</v>
      </c>
      <c r="D47" s="116"/>
      <c r="E47" s="116"/>
      <c r="F47" s="116"/>
      <c r="G47" s="116"/>
      <c r="H47" s="116"/>
      <c r="I47" s="116"/>
      <c r="J47" s="116"/>
      <c r="K47" s="116"/>
      <c r="L47" s="117"/>
      <c r="M47" s="117"/>
      <c r="N47" s="117"/>
      <c r="O47" s="116"/>
      <c r="P47" s="118"/>
      <c r="Q47" s="118"/>
    </row>
    <row r="48" spans="1:22" x14ac:dyDescent="0.25">
      <c r="B48" s="8" t="s">
        <v>67</v>
      </c>
      <c r="C48" s="127">
        <v>54000000</v>
      </c>
    </row>
    <row r="49" spans="2:17" x14ac:dyDescent="0.25">
      <c r="B49" s="8" t="s">
        <v>93</v>
      </c>
      <c r="C49" s="127">
        <v>58500000</v>
      </c>
    </row>
    <row r="50" spans="2:17" x14ac:dyDescent="0.25">
      <c r="B50" s="8" t="s">
        <v>94</v>
      </c>
      <c r="C50" s="127">
        <v>63000000</v>
      </c>
    </row>
    <row r="51" spans="2:17" x14ac:dyDescent="0.25">
      <c r="B51" s="8" t="s">
        <v>95</v>
      </c>
      <c r="C51" s="127">
        <v>67500000</v>
      </c>
    </row>
    <row r="52" spans="2:17" x14ac:dyDescent="0.25">
      <c r="B52" s="8" t="s">
        <v>68</v>
      </c>
      <c r="C52" s="127">
        <v>58500000</v>
      </c>
    </row>
    <row r="53" spans="2:17" x14ac:dyDescent="0.25">
      <c r="B53" s="8" t="s">
        <v>69</v>
      </c>
      <c r="C53" s="127">
        <v>63000000</v>
      </c>
    </row>
    <row r="54" spans="2:17" x14ac:dyDescent="0.25">
      <c r="B54" s="8" t="s">
        <v>50</v>
      </c>
      <c r="C54" s="127">
        <v>67500000</v>
      </c>
    </row>
    <row r="55" spans="2:17" x14ac:dyDescent="0.25">
      <c r="B55" s="8" t="s">
        <v>64</v>
      </c>
      <c r="C55" s="127">
        <v>72000000</v>
      </c>
    </row>
    <row r="56" spans="2:17" x14ac:dyDescent="0.25">
      <c r="B56" s="8" t="s">
        <v>96</v>
      </c>
      <c r="C56" s="127">
        <v>112500000</v>
      </c>
    </row>
    <row r="57" spans="2:17" x14ac:dyDescent="0.25">
      <c r="B57" s="8" t="s">
        <v>97</v>
      </c>
      <c r="C57" s="127">
        <v>117000000</v>
      </c>
    </row>
    <row r="58" spans="2:17" x14ac:dyDescent="0.25">
      <c r="B58" s="8" t="s">
        <v>98</v>
      </c>
      <c r="C58" s="127">
        <v>121500000</v>
      </c>
    </row>
    <row r="59" spans="2:17" x14ac:dyDescent="0.25">
      <c r="B59" s="8" t="s">
        <v>99</v>
      </c>
      <c r="C59" s="127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D14:N18 P13:Q18 C13:N13" xr:uid="{00000000-0002-0000-0700-000000000000}"/>
  </dataValidations>
  <pageMargins left="0.7" right="0.7" top="0.75" bottom="0.75" header="0.3" footer="0.3"/>
  <pageSetup paperSize="9" orientation="portrait" horizontalDpi="360" verticalDpi="36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V59"/>
  <sheetViews>
    <sheetView topLeftCell="F15" zoomScale="67" workbookViewId="0">
      <selection activeCell="O23" sqref="O2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589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2000000</v>
      </c>
      <c r="D13" s="137">
        <v>2000000</v>
      </c>
      <c r="E13" s="162">
        <v>2000000</v>
      </c>
      <c r="F13" s="92">
        <v>2000000</v>
      </c>
      <c r="G13" s="92">
        <v>2000000</v>
      </c>
      <c r="H13" s="92">
        <v>2050000</v>
      </c>
      <c r="I13" s="92">
        <v>2050000</v>
      </c>
      <c r="J13" s="92">
        <v>2000000</v>
      </c>
      <c r="K13" s="92">
        <v>3600000</v>
      </c>
      <c r="L13" s="92">
        <v>3600000</v>
      </c>
      <c r="M13" s="92">
        <v>3550000</v>
      </c>
      <c r="N13" s="92">
        <v>3550000</v>
      </c>
      <c r="O13" s="32">
        <f>SUM(C13:N13)</f>
        <v>30400000</v>
      </c>
      <c r="P13" s="123">
        <f t="shared" ref="P13:P18" si="1">Q13</f>
        <v>24000000</v>
      </c>
      <c r="Q13" s="123">
        <f>F13*12</f>
        <v>24000000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>
        <v>100000</v>
      </c>
      <c r="K16" s="92"/>
      <c r="L16" s="92"/>
      <c r="M16" s="92"/>
      <c r="N16" s="92"/>
      <c r="O16" s="32">
        <f>SUM(C16:N16)</f>
        <v>100000</v>
      </c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2000000</v>
      </c>
      <c r="D19" s="37">
        <f>SUM(D13:D18)</f>
        <v>2000000</v>
      </c>
      <c r="E19" s="37">
        <f>SUM(E13:E18)</f>
        <v>2000000</v>
      </c>
      <c r="F19" s="37">
        <f>SUM(F13:F18)</f>
        <v>2000000</v>
      </c>
      <c r="G19" s="37">
        <f t="shared" ref="G19:N19" si="3">SUM(G13:G18)</f>
        <v>2000000</v>
      </c>
      <c r="H19" s="37">
        <f t="shared" si="3"/>
        <v>2050000</v>
      </c>
      <c r="I19" s="37">
        <f t="shared" si="3"/>
        <v>2050000</v>
      </c>
      <c r="J19" s="37">
        <f t="shared" si="3"/>
        <v>2100000</v>
      </c>
      <c r="K19" s="37">
        <f t="shared" si="3"/>
        <v>3600000</v>
      </c>
      <c r="L19" s="37">
        <f t="shared" si="3"/>
        <v>3600000</v>
      </c>
      <c r="M19" s="37">
        <f t="shared" si="3"/>
        <v>3550000</v>
      </c>
      <c r="N19" s="37">
        <f t="shared" si="3"/>
        <v>3550000</v>
      </c>
      <c r="O19" s="38">
        <f>SUM(O13:O18)</f>
        <v>30500000</v>
      </c>
      <c r="P19" s="103">
        <f>SUM(P13:P18)</f>
        <v>24000000</v>
      </c>
      <c r="Q19" s="103">
        <f>SUM(Q13:Q18)</f>
        <v>24000000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1000000</v>
      </c>
      <c r="P20" s="110">
        <v>1000000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2000000</v>
      </c>
      <c r="D21" s="259">
        <f t="shared" ref="D21:N21" si="4">D19+D20</f>
        <v>2000000</v>
      </c>
      <c r="E21" s="259">
        <f t="shared" si="4"/>
        <v>2000000</v>
      </c>
      <c r="F21" s="259">
        <f t="shared" si="4"/>
        <v>2000000</v>
      </c>
      <c r="G21" s="259">
        <f>G19+G20</f>
        <v>2000000</v>
      </c>
      <c r="H21" s="259">
        <f t="shared" si="4"/>
        <v>2050000</v>
      </c>
      <c r="I21" s="259">
        <f t="shared" si="4"/>
        <v>2050000</v>
      </c>
      <c r="J21" s="259">
        <f t="shared" si="4"/>
        <v>2100000</v>
      </c>
      <c r="K21" s="259">
        <f t="shared" si="4"/>
        <v>3600000</v>
      </c>
      <c r="L21" s="259">
        <f t="shared" si="4"/>
        <v>3600000</v>
      </c>
      <c r="M21" s="259">
        <f t="shared" si="4"/>
        <v>3550000</v>
      </c>
      <c r="N21" s="259">
        <f t="shared" si="4"/>
        <v>3550000</v>
      </c>
      <c r="O21" s="259">
        <f>O19+O20</f>
        <v>31500000</v>
      </c>
      <c r="P21" s="103">
        <f>P19+P20</f>
        <v>25000000</v>
      </c>
      <c r="Q21" s="103">
        <f>Q19+Q20</f>
        <v>24000000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100000</v>
      </c>
      <c r="D23" s="257">
        <f t="shared" ref="D23:O23" si="5">IF(D21*5%&lt;500000,D21*5%,500000)</f>
        <v>100000</v>
      </c>
      <c r="E23" s="257">
        <f t="shared" si="5"/>
        <v>100000</v>
      </c>
      <c r="F23" s="257">
        <f t="shared" si="5"/>
        <v>100000</v>
      </c>
      <c r="G23" s="257">
        <f>IF(G21*5%&lt;500000,G21*5%,500000)</f>
        <v>100000</v>
      </c>
      <c r="H23" s="257">
        <f t="shared" si="5"/>
        <v>102500</v>
      </c>
      <c r="I23" s="257">
        <f t="shared" si="5"/>
        <v>102500</v>
      </c>
      <c r="J23" s="257">
        <f t="shared" si="5"/>
        <v>105000</v>
      </c>
      <c r="K23" s="257">
        <f t="shared" si="5"/>
        <v>180000</v>
      </c>
      <c r="L23" s="257">
        <f t="shared" si="5"/>
        <v>180000</v>
      </c>
      <c r="M23" s="257">
        <f t="shared" si="5"/>
        <v>177500</v>
      </c>
      <c r="N23" s="257">
        <f t="shared" si="5"/>
        <v>177500</v>
      </c>
      <c r="O23" s="257">
        <f>IF(O21*5%&lt;6000000,O21*5%,6000000)</f>
        <v>1575000</v>
      </c>
      <c r="P23" s="110">
        <f>IF(P21*5%&lt;6000000,P21*5%,6000000)</f>
        <v>1250000</v>
      </c>
      <c r="Q23" s="110">
        <f>IF(Q21*5%&lt;6000000,Q21*5%,6000000)</f>
        <v>1200000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100000</v>
      </c>
      <c r="D26" s="257">
        <f t="shared" si="6"/>
        <v>100000</v>
      </c>
      <c r="E26" s="257">
        <f t="shared" si="6"/>
        <v>100000</v>
      </c>
      <c r="F26" s="257">
        <f t="shared" si="6"/>
        <v>100000</v>
      </c>
      <c r="G26" s="257">
        <f>SUM(G23:G25)</f>
        <v>100000</v>
      </c>
      <c r="H26" s="257">
        <f t="shared" si="6"/>
        <v>102500</v>
      </c>
      <c r="I26" s="257">
        <f t="shared" si="6"/>
        <v>102500</v>
      </c>
      <c r="J26" s="257">
        <f t="shared" si="6"/>
        <v>105000</v>
      </c>
      <c r="K26" s="257">
        <f t="shared" si="6"/>
        <v>180000</v>
      </c>
      <c r="L26" s="257">
        <f t="shared" si="6"/>
        <v>180000</v>
      </c>
      <c r="M26" s="257">
        <f t="shared" si="6"/>
        <v>177500</v>
      </c>
      <c r="N26" s="257">
        <f t="shared" si="6"/>
        <v>177500</v>
      </c>
      <c r="O26" s="263">
        <f>SUM(O22:O25)</f>
        <v>1575000</v>
      </c>
      <c r="P26" s="103">
        <f>SUM(P23:P25)</f>
        <v>1250000</v>
      </c>
      <c r="Q26" s="103">
        <f>SUM(Q23:Q25)</f>
        <v>1200000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1900000</v>
      </c>
      <c r="D28" s="255">
        <f t="shared" ref="D28:O28" si="7">D21-D26</f>
        <v>1900000</v>
      </c>
      <c r="E28" s="255">
        <f t="shared" si="7"/>
        <v>1900000</v>
      </c>
      <c r="F28" s="255">
        <f t="shared" si="7"/>
        <v>1900000</v>
      </c>
      <c r="G28" s="255">
        <f>G21-G26</f>
        <v>1900000</v>
      </c>
      <c r="H28" s="255">
        <f t="shared" si="7"/>
        <v>1947500</v>
      </c>
      <c r="I28" s="255">
        <f t="shared" si="7"/>
        <v>1947500</v>
      </c>
      <c r="J28" s="255">
        <f t="shared" si="7"/>
        <v>1995000</v>
      </c>
      <c r="K28" s="255">
        <f t="shared" si="7"/>
        <v>3420000</v>
      </c>
      <c r="L28" s="255">
        <f t="shared" si="7"/>
        <v>3420000</v>
      </c>
      <c r="M28" s="255">
        <f t="shared" si="7"/>
        <v>3372500</v>
      </c>
      <c r="N28" s="255">
        <f t="shared" si="7"/>
        <v>3372500</v>
      </c>
      <c r="O28" s="255">
        <f t="shared" si="7"/>
        <v>29925000</v>
      </c>
      <c r="P28" s="103">
        <f>P21-P26</f>
        <v>23750000</v>
      </c>
      <c r="Q28" s="103">
        <f>Q21-Q26</f>
        <v>22800000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22800000</v>
      </c>
      <c r="D30" s="253">
        <f>SUM(C28:D28)*D10/D11</f>
        <v>22800000</v>
      </c>
      <c r="E30" s="253">
        <f>SUM(C28:E28)*E10/E11</f>
        <v>22800000</v>
      </c>
      <c r="F30" s="253">
        <f>SUM(C28:F28)*F10/F11</f>
        <v>22800000</v>
      </c>
      <c r="G30" s="253">
        <f>SUM(C28:G28)*G10/G11</f>
        <v>22800000</v>
      </c>
      <c r="H30" s="253">
        <f>SUM(C28:H28)*H10/H11</f>
        <v>22895000</v>
      </c>
      <c r="I30" s="253">
        <f>SUM(C28:I28)*I10/I11</f>
        <v>22962857.142857142</v>
      </c>
      <c r="J30" s="253">
        <f>SUM(C28:J28)*J10/J11</f>
        <v>23085000</v>
      </c>
      <c r="K30" s="253">
        <f>SUM(C28:K28)*K10/K11</f>
        <v>25080000</v>
      </c>
      <c r="L30" s="253">
        <f>SUM(C28:L28)*L10/L11</f>
        <v>26676000</v>
      </c>
      <c r="M30" s="253">
        <f>SUM(C28:M28)*M10/M11</f>
        <v>27930000</v>
      </c>
      <c r="N30" s="253">
        <f>SUM(C28:N28)*N10/N11</f>
        <v>28975000</v>
      </c>
      <c r="O30" s="254">
        <f>O28</f>
        <v>29925000</v>
      </c>
      <c r="P30" s="108">
        <f>P28</f>
        <v>23750000</v>
      </c>
      <c r="Q30" s="108">
        <f>Q28</f>
        <v>22800000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2000000</v>
      </c>
      <c r="D41" s="50">
        <f t="shared" si="14"/>
        <v>2000000</v>
      </c>
      <c r="E41" s="50">
        <f t="shared" si="14"/>
        <v>2000000</v>
      </c>
      <c r="F41" s="50">
        <f t="shared" si="14"/>
        <v>2000000</v>
      </c>
      <c r="G41" s="50">
        <f t="shared" si="14"/>
        <v>2000000</v>
      </c>
      <c r="H41" s="50">
        <f t="shared" si="14"/>
        <v>2050000</v>
      </c>
      <c r="I41" s="50">
        <f t="shared" si="14"/>
        <v>2050000</v>
      </c>
      <c r="J41" s="50">
        <f t="shared" si="14"/>
        <v>2100000</v>
      </c>
      <c r="K41" s="50">
        <f>K21-K25-K36</f>
        <v>3600000</v>
      </c>
      <c r="L41" s="50">
        <f>L21-L25-L36</f>
        <v>3600000</v>
      </c>
      <c r="M41" s="50">
        <f>M21-M25-M36</f>
        <v>3550000</v>
      </c>
      <c r="N41" s="50">
        <f>N21-N25-N36</f>
        <v>3550000</v>
      </c>
      <c r="O41" s="50">
        <f>O21-O25-O36-O38</f>
        <v>31500000</v>
      </c>
      <c r="P41" s="126">
        <f>P21-P25-P36</f>
        <v>25000000</v>
      </c>
      <c r="Q41" s="126">
        <f>Q21-Q25-Q36</f>
        <v>24000000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5000-000000000000}"/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2"/>
  <dimension ref="A1:V59"/>
  <sheetViews>
    <sheetView topLeftCell="C1" zoomScale="64" workbookViewId="0">
      <selection activeCell="P32" sqref="P32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ht="15.75" thickBot="1" x14ac:dyDescent="0.3">
      <c r="A1" s="6" t="s">
        <v>52</v>
      </c>
      <c r="B1" s="142" t="s">
        <v>590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2000000</v>
      </c>
      <c r="D13" s="92">
        <v>2000000</v>
      </c>
      <c r="E13" s="162">
        <v>2000000</v>
      </c>
      <c r="F13" s="92">
        <v>2000000</v>
      </c>
      <c r="G13" s="92">
        <v>2000000</v>
      </c>
      <c r="H13" s="92"/>
      <c r="I13" s="92"/>
      <c r="J13" s="92"/>
      <c r="K13" s="92"/>
      <c r="L13" s="92"/>
      <c r="M13" s="92"/>
      <c r="N13" s="92"/>
      <c r="O13" s="32">
        <f>SUM(C13:N13)</f>
        <v>10000000</v>
      </c>
      <c r="P13" s="123">
        <f t="shared" ref="P13:P18" si="1">Q13</f>
        <v>24000000</v>
      </c>
      <c r="Q13" s="123">
        <f>F13*12</f>
        <v>24000000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2000000</v>
      </c>
      <c r="D19" s="37">
        <f>SUM(D13:D18)</f>
        <v>2000000</v>
      </c>
      <c r="E19" s="37">
        <f>SUM(E13:E18)</f>
        <v>2000000</v>
      </c>
      <c r="F19" s="37">
        <f>SUM(F13:F18)</f>
        <v>2000000</v>
      </c>
      <c r="G19" s="37">
        <f>SUM(G13:G18)</f>
        <v>2000000</v>
      </c>
      <c r="H19" s="37"/>
      <c r="I19" s="37"/>
      <c r="J19" s="37"/>
      <c r="K19" s="37"/>
      <c r="L19" s="37"/>
      <c r="M19" s="37"/>
      <c r="N19" s="37"/>
      <c r="O19" s="38">
        <f>SUM(O13:O18)</f>
        <v>10000000</v>
      </c>
      <c r="P19" s="103">
        <f>SUM(P13:P18)</f>
        <v>24000000</v>
      </c>
      <c r="Q19" s="103">
        <f>SUM(Q13:Q18)</f>
        <v>24000000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2000000</v>
      </c>
      <c r="P20" s="110">
        <v>2000000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2000000</v>
      </c>
      <c r="D21" s="259">
        <f t="shared" ref="D21:N21" si="3">D19+D20</f>
        <v>2000000</v>
      </c>
      <c r="E21" s="259">
        <f t="shared" si="3"/>
        <v>2000000</v>
      </c>
      <c r="F21" s="259">
        <f t="shared" si="3"/>
        <v>2000000</v>
      </c>
      <c r="G21" s="259">
        <f>G19+G20</f>
        <v>2000000</v>
      </c>
      <c r="H21" s="259">
        <f t="shared" si="3"/>
        <v>0</v>
      </c>
      <c r="I21" s="259">
        <f t="shared" si="3"/>
        <v>0</v>
      </c>
      <c r="J21" s="259">
        <f t="shared" si="3"/>
        <v>0</v>
      </c>
      <c r="K21" s="259">
        <f t="shared" si="3"/>
        <v>0</v>
      </c>
      <c r="L21" s="259">
        <f t="shared" si="3"/>
        <v>0</v>
      </c>
      <c r="M21" s="259">
        <f t="shared" si="3"/>
        <v>0</v>
      </c>
      <c r="N21" s="259">
        <f t="shared" si="3"/>
        <v>0</v>
      </c>
      <c r="O21" s="259">
        <f>O19+O20</f>
        <v>12000000</v>
      </c>
      <c r="P21" s="103">
        <f>P19+P20</f>
        <v>26000000</v>
      </c>
      <c r="Q21" s="103">
        <f>Q19+Q20</f>
        <v>24000000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100000</v>
      </c>
      <c r="D23" s="257">
        <f t="shared" ref="D23:O23" si="4">IF(D21*5%&lt;500000,D21*5%,500000)</f>
        <v>100000</v>
      </c>
      <c r="E23" s="257">
        <f t="shared" si="4"/>
        <v>100000</v>
      </c>
      <c r="F23" s="257">
        <f t="shared" si="4"/>
        <v>100000</v>
      </c>
      <c r="G23" s="257">
        <f>IF(G21*5%&lt;500000,G21*5%,500000)</f>
        <v>100000</v>
      </c>
      <c r="H23" s="257">
        <f t="shared" si="4"/>
        <v>0</v>
      </c>
      <c r="I23" s="257">
        <f t="shared" si="4"/>
        <v>0</v>
      </c>
      <c r="J23" s="257">
        <f t="shared" si="4"/>
        <v>0</v>
      </c>
      <c r="K23" s="257">
        <f t="shared" si="4"/>
        <v>0</v>
      </c>
      <c r="L23" s="257">
        <f t="shared" si="4"/>
        <v>0</v>
      </c>
      <c r="M23" s="257">
        <f t="shared" si="4"/>
        <v>0</v>
      </c>
      <c r="N23" s="257">
        <f t="shared" si="4"/>
        <v>0</v>
      </c>
      <c r="O23" s="257">
        <f>IF(O21*5%&lt;6000000,O21*5%,6000000)</f>
        <v>600000</v>
      </c>
      <c r="P23" s="110">
        <f>IF(P21*5%&lt;6000000,P21*5%,6000000)</f>
        <v>1300000</v>
      </c>
      <c r="Q23" s="110">
        <f>IF(Q21*5%&lt;6000000,Q21*5%,6000000)</f>
        <v>1200000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5">SUM(C23:C25)</f>
        <v>100000</v>
      </c>
      <c r="D26" s="257">
        <f t="shared" si="5"/>
        <v>100000</v>
      </c>
      <c r="E26" s="257">
        <f t="shared" si="5"/>
        <v>100000</v>
      </c>
      <c r="F26" s="257">
        <f t="shared" si="5"/>
        <v>100000</v>
      </c>
      <c r="G26" s="257">
        <f>SUM(G23:G25)</f>
        <v>100000</v>
      </c>
      <c r="H26" s="257">
        <f t="shared" si="5"/>
        <v>0</v>
      </c>
      <c r="I26" s="257">
        <f t="shared" si="5"/>
        <v>0</v>
      </c>
      <c r="J26" s="257">
        <f t="shared" si="5"/>
        <v>0</v>
      </c>
      <c r="K26" s="257">
        <f t="shared" si="5"/>
        <v>0</v>
      </c>
      <c r="L26" s="257">
        <f t="shared" si="5"/>
        <v>0</v>
      </c>
      <c r="M26" s="257">
        <f t="shared" si="5"/>
        <v>0</v>
      </c>
      <c r="N26" s="257">
        <f t="shared" si="5"/>
        <v>0</v>
      </c>
      <c r="O26" s="263">
        <f>SUM(O22:O25)</f>
        <v>600000</v>
      </c>
      <c r="P26" s="103">
        <f>SUM(P23:P25)</f>
        <v>1300000</v>
      </c>
      <c r="Q26" s="103">
        <f>SUM(Q23:Q25)</f>
        <v>1200000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1900000</v>
      </c>
      <c r="D28" s="255">
        <f t="shared" ref="D28:O28" si="6">D21-D26</f>
        <v>1900000</v>
      </c>
      <c r="E28" s="255">
        <f t="shared" si="6"/>
        <v>1900000</v>
      </c>
      <c r="F28" s="255">
        <f t="shared" si="6"/>
        <v>1900000</v>
      </c>
      <c r="G28" s="255">
        <f>G21-G26</f>
        <v>1900000</v>
      </c>
      <c r="H28" s="255">
        <f t="shared" si="6"/>
        <v>0</v>
      </c>
      <c r="I28" s="255">
        <f t="shared" si="6"/>
        <v>0</v>
      </c>
      <c r="J28" s="255">
        <f t="shared" si="6"/>
        <v>0</v>
      </c>
      <c r="K28" s="255">
        <f t="shared" si="6"/>
        <v>0</v>
      </c>
      <c r="L28" s="255">
        <f t="shared" si="6"/>
        <v>0</v>
      </c>
      <c r="M28" s="255">
        <f t="shared" si="6"/>
        <v>0</v>
      </c>
      <c r="N28" s="255">
        <f t="shared" si="6"/>
        <v>0</v>
      </c>
      <c r="O28" s="255">
        <f t="shared" si="6"/>
        <v>11400000</v>
      </c>
      <c r="P28" s="103">
        <f>P21-P26</f>
        <v>24700000</v>
      </c>
      <c r="Q28" s="103">
        <f>Q21-Q26</f>
        <v>22800000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22800000</v>
      </c>
      <c r="D30" s="253">
        <f>SUM(C28:D28)*D10/D11</f>
        <v>22800000</v>
      </c>
      <c r="E30" s="253">
        <f>SUM(C28:E28)*E10/E11</f>
        <v>22800000</v>
      </c>
      <c r="F30" s="253">
        <f>SUM(C28:F28)*F10/F11</f>
        <v>22800000</v>
      </c>
      <c r="G30" s="253">
        <f>SUM(C28:G28)*G10/G11</f>
        <v>22800000</v>
      </c>
      <c r="H30" s="253">
        <f>SUM(C28:H28)*H10/H11</f>
        <v>19000000</v>
      </c>
      <c r="I30" s="253">
        <f>SUM(C28:I28)*I10/I11</f>
        <v>16285714.285714285</v>
      </c>
      <c r="J30" s="253">
        <f>SUM(C28:J28)*J10/J11</f>
        <v>14250000</v>
      </c>
      <c r="K30" s="253">
        <f>SUM(C28:K28)*K10/K11</f>
        <v>12666666.666666666</v>
      </c>
      <c r="L30" s="253">
        <f>SUM(C28:L28)*L10/L11</f>
        <v>11400000</v>
      </c>
      <c r="M30" s="253">
        <f>SUM(C28:M28)*M10/M11</f>
        <v>10363636.363636363</v>
      </c>
      <c r="N30" s="253">
        <f>SUM(C28:N28)*N10/N11</f>
        <v>9500000</v>
      </c>
      <c r="O30" s="254">
        <f>O28</f>
        <v>11400000</v>
      </c>
      <c r="P30" s="108">
        <f>P28</f>
        <v>24700000</v>
      </c>
      <c r="Q30" s="108">
        <f>Q28</f>
        <v>22800000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7">IF(C30&gt;0,VLOOKUP(C9,$B$47:$C$59,2,FALSE),0)</f>
        <v>72000000</v>
      </c>
      <c r="D31" s="255">
        <f t="shared" si="7"/>
        <v>72000000</v>
      </c>
      <c r="E31" s="255">
        <f t="shared" si="7"/>
        <v>72000000</v>
      </c>
      <c r="F31" s="255">
        <f t="shared" si="7"/>
        <v>72000000</v>
      </c>
      <c r="G31" s="255">
        <f>IF(G30&gt;0,VLOOKUP(G9,$B$47:$C$59,2,FALSE),0)</f>
        <v>72000000</v>
      </c>
      <c r="H31" s="255">
        <f t="shared" si="7"/>
        <v>72000000</v>
      </c>
      <c r="I31" s="255">
        <f t="shared" si="7"/>
        <v>72000000</v>
      </c>
      <c r="J31" s="255">
        <f t="shared" si="7"/>
        <v>72000000</v>
      </c>
      <c r="K31" s="255">
        <f t="shared" si="7"/>
        <v>72000000</v>
      </c>
      <c r="L31" s="255">
        <f t="shared" si="7"/>
        <v>72000000</v>
      </c>
      <c r="M31" s="255">
        <f t="shared" si="7"/>
        <v>72000000</v>
      </c>
      <c r="N31" s="255">
        <f t="shared" si="7"/>
        <v>72000000</v>
      </c>
      <c r="O31" s="255">
        <f t="shared" si="7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8">ROUNDDOWN(IF(D30&lt;=D31,0,IF(D30&gt;D31,D30-D31)),-3)</f>
        <v>0</v>
      </c>
      <c r="E32" s="256">
        <f t="shared" si="8"/>
        <v>0</v>
      </c>
      <c r="F32" s="256">
        <f t="shared" si="8"/>
        <v>0</v>
      </c>
      <c r="G32" s="256">
        <f t="shared" si="8"/>
        <v>0</v>
      </c>
      <c r="H32" s="256">
        <f t="shared" si="8"/>
        <v>0</v>
      </c>
      <c r="I32" s="256">
        <f>ROUNDDOWN(IF(I30&lt;=I31,0,IF(I30&gt;I31,I30-I31)),-3)</f>
        <v>0</v>
      </c>
      <c r="J32" s="256">
        <f t="shared" si="8"/>
        <v>0</v>
      </c>
      <c r="K32" s="256">
        <f t="shared" si="8"/>
        <v>0</v>
      </c>
      <c r="L32" s="256">
        <f t="shared" si="8"/>
        <v>0</v>
      </c>
      <c r="M32" s="256">
        <f t="shared" si="8"/>
        <v>0</v>
      </c>
      <c r="N32" s="256">
        <f t="shared" si="8"/>
        <v>0</v>
      </c>
      <c r="O32" s="256">
        <f t="shared" si="8"/>
        <v>0</v>
      </c>
      <c r="P32" s="103">
        <f t="shared" ref="D32:Q32" si="9">ROUNDDOWN(IF(P30&lt;=P31,0,IF(P30&gt;P31,P30-P31)),-3)</f>
        <v>0</v>
      </c>
      <c r="Q32" s="103">
        <f t="shared" si="9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0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0"/>
        <v>0</v>
      </c>
      <c r="E33" s="257">
        <f t="shared" si="10"/>
        <v>0</v>
      </c>
      <c r="F33" s="257">
        <f t="shared" si="10"/>
        <v>0</v>
      </c>
      <c r="G33" s="257">
        <f t="shared" si="10"/>
        <v>0</v>
      </c>
      <c r="H33" s="257">
        <f t="shared" si="10"/>
        <v>0</v>
      </c>
      <c r="I33" s="257">
        <f t="shared" si="10"/>
        <v>0</v>
      </c>
      <c r="J33" s="257">
        <f t="shared" si="10"/>
        <v>0</v>
      </c>
      <c r="K33" s="257">
        <f t="shared" si="10"/>
        <v>0</v>
      </c>
      <c r="L33" s="257">
        <f t="shared" si="10"/>
        <v>0</v>
      </c>
      <c r="M33" s="257">
        <f t="shared" si="10"/>
        <v>0</v>
      </c>
      <c r="N33" s="257">
        <f t="shared" si="10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103">
        <f>IF(P32&lt;0,0,IF(P32&lt;50000000,P32*5%,IF(P32&lt;250000000,(P32-50000000)*15%+2500000,IF(P32&lt;500000000,(P32-250000000)*25%+32500000,IF(P32&gt;500000000,(P32-500000000)*30%+95000000)))))</f>
        <v>0</v>
      </c>
      <c r="Q33" s="103">
        <f>IF(Q32&lt;0,0,IF(Q32&lt;50000000,Q32*5%,IF(Q32&lt;250000000,(Q32-50000000)*15%+2500000,IF(Q32&lt;500000000,(Q32-250000000)*25%+32500000,IF(Q32&gt;500000000,(Q32-500000000)*30%+95000000)))))</f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1">D33-D34</f>
        <v>0</v>
      </c>
      <c r="E35" s="255">
        <f t="shared" si="11"/>
        <v>0</v>
      </c>
      <c r="F35" s="255">
        <f t="shared" si="11"/>
        <v>0</v>
      </c>
      <c r="G35" s="255">
        <f t="shared" si="11"/>
        <v>0</v>
      </c>
      <c r="H35" s="255">
        <f t="shared" si="11"/>
        <v>0</v>
      </c>
      <c r="I35" s="255">
        <f t="shared" si="11"/>
        <v>0</v>
      </c>
      <c r="J35" s="255">
        <f t="shared" si="11"/>
        <v>0</v>
      </c>
      <c r="K35" s="255">
        <f t="shared" si="11"/>
        <v>0</v>
      </c>
      <c r="L35" s="255">
        <f t="shared" si="11"/>
        <v>0</v>
      </c>
      <c r="M35" s="255">
        <f t="shared" si="11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2">C21-C25-C36</f>
        <v>2000000</v>
      </c>
      <c r="D41" s="50">
        <f t="shared" si="12"/>
        <v>2000000</v>
      </c>
      <c r="E41" s="50">
        <f t="shared" si="12"/>
        <v>2000000</v>
      </c>
      <c r="F41" s="50">
        <f t="shared" si="12"/>
        <v>2000000</v>
      </c>
      <c r="G41" s="50">
        <f t="shared" si="12"/>
        <v>2000000</v>
      </c>
      <c r="H41" s="50">
        <f t="shared" si="12"/>
        <v>0</v>
      </c>
      <c r="I41" s="50">
        <f t="shared" si="12"/>
        <v>0</v>
      </c>
      <c r="J41" s="50">
        <f t="shared" si="12"/>
        <v>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0</v>
      </c>
      <c r="O41" s="50">
        <f>O21-O25-O36-O38</f>
        <v>12000000</v>
      </c>
      <c r="P41" s="126">
        <f>P21-P25-P36</f>
        <v>26000000</v>
      </c>
      <c r="Q41" s="126">
        <f>Q21-Q25-Q36</f>
        <v>24000000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13:N13 D14:N18 P13:Q18" xr:uid="{00000000-0002-0000-5100-000000000000}"/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3"/>
  <dimension ref="A1:V59"/>
  <sheetViews>
    <sheetView topLeftCell="C1" zoomScale="58" workbookViewId="0">
      <selection activeCell="Q14" sqref="Q14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ht="15.75" thickBot="1" x14ac:dyDescent="0.3">
      <c r="A1" s="6" t="s">
        <v>52</v>
      </c>
      <c r="B1" s="142" t="s">
        <v>591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1500000</v>
      </c>
      <c r="D13" s="92">
        <v>1500000</v>
      </c>
      <c r="E13" s="162">
        <v>1500000</v>
      </c>
      <c r="F13" s="92">
        <v>1500000</v>
      </c>
      <c r="G13" s="92">
        <v>1500000</v>
      </c>
      <c r="H13" s="92">
        <v>1500000</v>
      </c>
      <c r="I13" s="92">
        <v>1500000</v>
      </c>
      <c r="J13" s="92"/>
      <c r="K13" s="92"/>
      <c r="L13" s="92"/>
      <c r="M13" s="92"/>
      <c r="N13" s="92"/>
      <c r="O13" s="32">
        <f>SUM(C13:N13)</f>
        <v>10500000</v>
      </c>
      <c r="P13" s="123">
        <f t="shared" ref="P13:P18" si="1">Q13</f>
        <v>18000000</v>
      </c>
      <c r="Q13" s="123">
        <f>F13*12</f>
        <v>18000000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>F14*12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>F15*12</f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>F16*12</f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ref="Q14:Q18" si="2">G17*12</f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1500000</v>
      </c>
      <c r="D19" s="37">
        <f>SUM(D13:D18)</f>
        <v>1500000</v>
      </c>
      <c r="E19" s="37">
        <f>SUM(E13:E18)</f>
        <v>1500000</v>
      </c>
      <c r="F19" s="37">
        <f>SUM(F13:F18)</f>
        <v>1500000</v>
      </c>
      <c r="G19" s="37">
        <f t="shared" ref="G19:I19" si="3">SUM(G13:G18)</f>
        <v>1500000</v>
      </c>
      <c r="H19" s="37">
        <f t="shared" si="3"/>
        <v>1500000</v>
      </c>
      <c r="I19" s="37">
        <f t="shared" si="3"/>
        <v>1500000</v>
      </c>
      <c r="J19" s="37"/>
      <c r="K19" s="37"/>
      <c r="L19" s="37"/>
      <c r="M19" s="37"/>
      <c r="N19" s="37"/>
      <c r="O19" s="38">
        <f>SUM(O13:O18)</f>
        <v>10500000</v>
      </c>
      <c r="P19" s="103">
        <f>SUM(P13:P18)</f>
        <v>18000000</v>
      </c>
      <c r="Q19" s="103">
        <f>SUM(Q13:Q18)</f>
        <v>18000000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1000000</v>
      </c>
      <c r="P20" s="110">
        <v>1000000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1500000</v>
      </c>
      <c r="D21" s="259">
        <f t="shared" ref="D21:N21" si="4">D19+D20</f>
        <v>1500000</v>
      </c>
      <c r="E21" s="259">
        <f t="shared" si="4"/>
        <v>1500000</v>
      </c>
      <c r="F21" s="259">
        <f t="shared" si="4"/>
        <v>1500000</v>
      </c>
      <c r="G21" s="259">
        <f>G19+G20</f>
        <v>1500000</v>
      </c>
      <c r="H21" s="259">
        <f t="shared" si="4"/>
        <v>1500000</v>
      </c>
      <c r="I21" s="259">
        <f t="shared" si="4"/>
        <v>1500000</v>
      </c>
      <c r="J21" s="259">
        <f t="shared" si="4"/>
        <v>0</v>
      </c>
      <c r="K21" s="259">
        <f t="shared" si="4"/>
        <v>0</v>
      </c>
      <c r="L21" s="259">
        <f t="shared" si="4"/>
        <v>0</v>
      </c>
      <c r="M21" s="259">
        <f t="shared" si="4"/>
        <v>0</v>
      </c>
      <c r="N21" s="259">
        <f t="shared" si="4"/>
        <v>0</v>
      </c>
      <c r="O21" s="259">
        <f>O19+O20</f>
        <v>11500000</v>
      </c>
      <c r="P21" s="103">
        <f>P19+P20</f>
        <v>19000000</v>
      </c>
      <c r="Q21" s="103">
        <f>Q19+Q20</f>
        <v>18000000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75000</v>
      </c>
      <c r="D23" s="257">
        <f t="shared" ref="D23:O23" si="5">IF(D21*5%&lt;500000,D21*5%,500000)</f>
        <v>75000</v>
      </c>
      <c r="E23" s="257">
        <f t="shared" si="5"/>
        <v>75000</v>
      </c>
      <c r="F23" s="257">
        <f t="shared" si="5"/>
        <v>75000</v>
      </c>
      <c r="G23" s="257">
        <f>IF(G21*5%&lt;500000,G21*5%,500000)</f>
        <v>75000</v>
      </c>
      <c r="H23" s="257">
        <f t="shared" si="5"/>
        <v>75000</v>
      </c>
      <c r="I23" s="257">
        <f t="shared" si="5"/>
        <v>75000</v>
      </c>
      <c r="J23" s="257">
        <f t="shared" si="5"/>
        <v>0</v>
      </c>
      <c r="K23" s="257">
        <f t="shared" si="5"/>
        <v>0</v>
      </c>
      <c r="L23" s="257">
        <f t="shared" si="5"/>
        <v>0</v>
      </c>
      <c r="M23" s="257">
        <f t="shared" si="5"/>
        <v>0</v>
      </c>
      <c r="N23" s="257">
        <f t="shared" si="5"/>
        <v>0</v>
      </c>
      <c r="O23" s="257">
        <f>IF(O21*5%&lt;6000000,O21*5%,6000000)</f>
        <v>575000</v>
      </c>
      <c r="P23" s="110">
        <f>IF(P21*5%&lt;6000000,P21*5%,6000000)</f>
        <v>950000</v>
      </c>
      <c r="Q23" s="110">
        <f>IF(Q21*5%&lt;6000000,Q21*5%,6000000)</f>
        <v>900000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75000</v>
      </c>
      <c r="D26" s="257">
        <f t="shared" si="6"/>
        <v>75000</v>
      </c>
      <c r="E26" s="257">
        <f t="shared" si="6"/>
        <v>75000</v>
      </c>
      <c r="F26" s="257">
        <f t="shared" si="6"/>
        <v>75000</v>
      </c>
      <c r="G26" s="257">
        <f>SUM(G23:G25)</f>
        <v>75000</v>
      </c>
      <c r="H26" s="257">
        <f t="shared" si="6"/>
        <v>75000</v>
      </c>
      <c r="I26" s="257">
        <f t="shared" si="6"/>
        <v>75000</v>
      </c>
      <c r="J26" s="257">
        <f t="shared" si="6"/>
        <v>0</v>
      </c>
      <c r="K26" s="257">
        <f t="shared" si="6"/>
        <v>0</v>
      </c>
      <c r="L26" s="257">
        <f t="shared" si="6"/>
        <v>0</v>
      </c>
      <c r="M26" s="257">
        <f t="shared" si="6"/>
        <v>0</v>
      </c>
      <c r="N26" s="257">
        <f t="shared" si="6"/>
        <v>0</v>
      </c>
      <c r="O26" s="263">
        <f>SUM(O22:O25)</f>
        <v>575000</v>
      </c>
      <c r="P26" s="103">
        <f>SUM(P23:P25)</f>
        <v>950000</v>
      </c>
      <c r="Q26" s="103">
        <f>SUM(Q23:Q25)</f>
        <v>900000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1425000</v>
      </c>
      <c r="D28" s="255">
        <f t="shared" ref="D28:O28" si="7">D21-D26</f>
        <v>1425000</v>
      </c>
      <c r="E28" s="255">
        <f t="shared" si="7"/>
        <v>1425000</v>
      </c>
      <c r="F28" s="255">
        <f t="shared" si="7"/>
        <v>1425000</v>
      </c>
      <c r="G28" s="255">
        <f>G21-G26</f>
        <v>1425000</v>
      </c>
      <c r="H28" s="255">
        <f t="shared" si="7"/>
        <v>1425000</v>
      </c>
      <c r="I28" s="255">
        <f t="shared" si="7"/>
        <v>1425000</v>
      </c>
      <c r="J28" s="255">
        <f t="shared" si="7"/>
        <v>0</v>
      </c>
      <c r="K28" s="255">
        <f t="shared" si="7"/>
        <v>0</v>
      </c>
      <c r="L28" s="255">
        <f t="shared" si="7"/>
        <v>0</v>
      </c>
      <c r="M28" s="255">
        <f t="shared" si="7"/>
        <v>0</v>
      </c>
      <c r="N28" s="255">
        <f t="shared" si="7"/>
        <v>0</v>
      </c>
      <c r="O28" s="255">
        <f t="shared" si="7"/>
        <v>10925000</v>
      </c>
      <c r="P28" s="103">
        <f>P21-P26</f>
        <v>18050000</v>
      </c>
      <c r="Q28" s="103">
        <f>Q21-Q26</f>
        <v>17100000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17100000</v>
      </c>
      <c r="D30" s="253">
        <f>SUM(C28:D28)*D10/D11</f>
        <v>17100000</v>
      </c>
      <c r="E30" s="253">
        <f>SUM(C28:E28)*E10/E11</f>
        <v>17100000</v>
      </c>
      <c r="F30" s="253">
        <f>SUM(C28:F28)*F10/F11</f>
        <v>17100000</v>
      </c>
      <c r="G30" s="253">
        <f>SUM(C28:G28)*G10/G11</f>
        <v>17100000</v>
      </c>
      <c r="H30" s="253">
        <f>SUM(C28:H28)*H10/H11</f>
        <v>17100000</v>
      </c>
      <c r="I30" s="253">
        <f>SUM(C28:I28)*I10/I11</f>
        <v>17100000</v>
      </c>
      <c r="J30" s="253">
        <f>SUM(C28:J28)*J10/J11</f>
        <v>14962500</v>
      </c>
      <c r="K30" s="253">
        <f>SUM(C28:K28)*K10/K11</f>
        <v>13300000</v>
      </c>
      <c r="L30" s="253">
        <f>SUM(C28:L28)*L10/L11</f>
        <v>11970000</v>
      </c>
      <c r="M30" s="253">
        <f>SUM(C28:M28)*M10/M11</f>
        <v>10881818.181818182</v>
      </c>
      <c r="N30" s="253">
        <f>SUM(C28:N28)*N10/N11</f>
        <v>9975000</v>
      </c>
      <c r="O30" s="254">
        <f>O28</f>
        <v>10925000</v>
      </c>
      <c r="P30" s="108">
        <f>P28</f>
        <v>18050000</v>
      </c>
      <c r="Q30" s="108">
        <f>Q28</f>
        <v>17100000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1500000</v>
      </c>
      <c r="D41" s="50">
        <f t="shared" si="14"/>
        <v>1500000</v>
      </c>
      <c r="E41" s="50">
        <f t="shared" si="14"/>
        <v>1500000</v>
      </c>
      <c r="F41" s="50">
        <f t="shared" si="14"/>
        <v>1500000</v>
      </c>
      <c r="G41" s="50">
        <f t="shared" si="14"/>
        <v>1500000</v>
      </c>
      <c r="H41" s="50">
        <f t="shared" si="14"/>
        <v>1500000</v>
      </c>
      <c r="I41" s="50">
        <f t="shared" si="14"/>
        <v>1500000</v>
      </c>
      <c r="J41" s="50">
        <f t="shared" si="14"/>
        <v>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0</v>
      </c>
      <c r="O41" s="50">
        <f>O21-O25-O36-O38</f>
        <v>11500000</v>
      </c>
      <c r="P41" s="126">
        <f>P21-P25-P36</f>
        <v>19000000</v>
      </c>
      <c r="Q41" s="126">
        <f>Q21-Q25-Q36</f>
        <v>18000000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13:N13 D14:N18 P13:Q18" xr:uid="{00000000-0002-0000-5200-000000000000}"/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4"/>
  <dimension ref="A1:V51"/>
  <sheetViews>
    <sheetView workbookViewId="0">
      <selection activeCell="C9" sqref="C9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3" width="19.5703125" style="3" bestFit="1" customWidth="1"/>
    <col min="4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ht="15.75" thickBot="1" x14ac:dyDescent="0.3">
      <c r="A1" s="6" t="s">
        <v>52</v>
      </c>
      <c r="B1" s="142" t="s">
        <v>592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/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/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/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/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>D15+D16</f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>IF(D17*5%&lt;500000,D17*5%,500000)</f>
        <v>0</v>
      </c>
      <c r="E19" s="37">
        <f t="shared" ref="E19:N19" si="3">IF(E17*5%&lt;500000,E17*5%,500000)</f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 t="shared" ref="C24:N24" si="5">C17-C22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54000000</v>
      </c>
      <c r="D27" s="53">
        <f>C27</f>
        <v>54000000</v>
      </c>
      <c r="E27" s="53">
        <f t="shared" ref="E27:M27" si="6">D27</f>
        <v>54000000</v>
      </c>
      <c r="F27" s="53">
        <f t="shared" si="6"/>
        <v>54000000</v>
      </c>
      <c r="G27" s="53">
        <f t="shared" si="6"/>
        <v>54000000</v>
      </c>
      <c r="H27" s="53">
        <f>G27</f>
        <v>54000000</v>
      </c>
      <c r="I27" s="53">
        <f t="shared" si="6"/>
        <v>54000000</v>
      </c>
      <c r="J27" s="53">
        <f t="shared" si="6"/>
        <v>54000000</v>
      </c>
      <c r="K27" s="53">
        <f t="shared" si="6"/>
        <v>54000000</v>
      </c>
      <c r="L27" s="53">
        <f t="shared" si="6"/>
        <v>54000000</v>
      </c>
      <c r="M27" s="53">
        <f t="shared" si="6"/>
        <v>54000000</v>
      </c>
      <c r="N27" s="53">
        <f>M27</f>
        <v>54000000</v>
      </c>
      <c r="O27" s="53">
        <f>N27</f>
        <v>54000000</v>
      </c>
      <c r="P27" s="103">
        <f>O27</f>
        <v>54000000</v>
      </c>
      <c r="Q27" s="103">
        <f>P27</f>
        <v>54000000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(G31/12*5*120%-SUM(C32:F32))+P33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f>P31/12</f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9:N9 D10:N14 P9:Q14" xr:uid="{00000000-0002-0000-5300-000000000000}"/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5"/>
  <dimension ref="A1:V59"/>
  <sheetViews>
    <sheetView topLeftCell="D1" zoomScale="55" workbookViewId="0">
      <selection activeCell="Q14" sqref="Q14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ht="15.75" thickBot="1" x14ac:dyDescent="0.3">
      <c r="A1" s="6" t="s">
        <v>52</v>
      </c>
      <c r="B1" s="142" t="s">
        <v>593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1800000</v>
      </c>
      <c r="D13" s="92">
        <v>1800000</v>
      </c>
      <c r="E13" s="167">
        <v>1800000</v>
      </c>
      <c r="F13" s="92"/>
      <c r="G13" s="92">
        <v>2250000</v>
      </c>
      <c r="H13" s="92">
        <v>1800000</v>
      </c>
      <c r="I13" s="92">
        <v>1800000</v>
      </c>
      <c r="J13" s="92">
        <v>1800000</v>
      </c>
      <c r="K13" s="92">
        <v>1800000</v>
      </c>
      <c r="L13" s="92">
        <v>1800000</v>
      </c>
      <c r="M13" s="92">
        <v>2050000</v>
      </c>
      <c r="N13" s="92">
        <v>1900000</v>
      </c>
      <c r="O13" s="32">
        <f>SUM(C13:N13)</f>
        <v>20600000</v>
      </c>
      <c r="P13" s="123">
        <f t="shared" ref="P13:P18" si="1">Q13</f>
        <v>0</v>
      </c>
      <c r="Q13" s="123">
        <f>F13*12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3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1800000</v>
      </c>
      <c r="D19" s="37">
        <f>SUM(D13:D18)</f>
        <v>1800000</v>
      </c>
      <c r="E19" s="37">
        <f>SUM(E13:E18)</f>
        <v>1800000</v>
      </c>
      <c r="F19" s="37"/>
      <c r="G19" s="37">
        <f>SUM(G13:G18)</f>
        <v>2250000</v>
      </c>
      <c r="H19" s="37">
        <f>SUM(H13:H18)</f>
        <v>1800000</v>
      </c>
      <c r="I19" s="37">
        <f>SUM(I13:I18)</f>
        <v>1800000</v>
      </c>
      <c r="J19" s="37">
        <f>SUM(J13:J18)</f>
        <v>1800000</v>
      </c>
      <c r="K19" s="37">
        <f t="shared" ref="K19:N19" si="3">SUM(K13:K18)</f>
        <v>1800000</v>
      </c>
      <c r="L19" s="37">
        <f t="shared" si="3"/>
        <v>1800000</v>
      </c>
      <c r="M19" s="37">
        <f t="shared" si="3"/>
        <v>2050000</v>
      </c>
      <c r="N19" s="37">
        <f t="shared" si="3"/>
        <v>1900000</v>
      </c>
      <c r="O19" s="38">
        <f>SUM(O13:O18)</f>
        <v>20600000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1800000</v>
      </c>
      <c r="D21" s="259">
        <f t="shared" ref="D21:N21" si="4">D19+D20</f>
        <v>1800000</v>
      </c>
      <c r="E21" s="259">
        <f t="shared" si="4"/>
        <v>1800000</v>
      </c>
      <c r="F21" s="259">
        <f t="shared" si="4"/>
        <v>0</v>
      </c>
      <c r="G21" s="259">
        <f>G19+G20</f>
        <v>2250000</v>
      </c>
      <c r="H21" s="259">
        <f t="shared" si="4"/>
        <v>1800000</v>
      </c>
      <c r="I21" s="259">
        <f t="shared" si="4"/>
        <v>1800000</v>
      </c>
      <c r="J21" s="259">
        <f t="shared" si="4"/>
        <v>1800000</v>
      </c>
      <c r="K21" s="259">
        <f t="shared" si="4"/>
        <v>1800000</v>
      </c>
      <c r="L21" s="259">
        <f t="shared" si="4"/>
        <v>1800000</v>
      </c>
      <c r="M21" s="259">
        <f t="shared" si="4"/>
        <v>2050000</v>
      </c>
      <c r="N21" s="259">
        <f t="shared" si="4"/>
        <v>1900000</v>
      </c>
      <c r="O21" s="259">
        <f>O19+O20</f>
        <v>20600000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90000</v>
      </c>
      <c r="D23" s="257">
        <f t="shared" ref="D23:O23" si="5">IF(D21*5%&lt;500000,D21*5%,500000)</f>
        <v>90000</v>
      </c>
      <c r="E23" s="257">
        <f t="shared" si="5"/>
        <v>90000</v>
      </c>
      <c r="F23" s="257">
        <f t="shared" si="5"/>
        <v>0</v>
      </c>
      <c r="G23" s="257">
        <f>IF(G21*5%&lt;500000,G21*5%,500000)</f>
        <v>112500</v>
      </c>
      <c r="H23" s="257">
        <f t="shared" si="5"/>
        <v>90000</v>
      </c>
      <c r="I23" s="257">
        <f t="shared" si="5"/>
        <v>90000</v>
      </c>
      <c r="J23" s="257">
        <f t="shared" si="5"/>
        <v>90000</v>
      </c>
      <c r="K23" s="257">
        <f t="shared" si="5"/>
        <v>90000</v>
      </c>
      <c r="L23" s="257">
        <f t="shared" si="5"/>
        <v>90000</v>
      </c>
      <c r="M23" s="257">
        <f t="shared" si="5"/>
        <v>102500</v>
      </c>
      <c r="N23" s="257">
        <f t="shared" si="5"/>
        <v>95000</v>
      </c>
      <c r="O23" s="257">
        <f>IF(O21*5%&lt;6000000,O21*5%,6000000)</f>
        <v>1030000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90000</v>
      </c>
      <c r="D26" s="257">
        <f t="shared" si="6"/>
        <v>90000</v>
      </c>
      <c r="E26" s="257">
        <f t="shared" si="6"/>
        <v>90000</v>
      </c>
      <c r="F26" s="257">
        <f t="shared" si="6"/>
        <v>0</v>
      </c>
      <c r="G26" s="257">
        <f>SUM(G23:G25)</f>
        <v>112500</v>
      </c>
      <c r="H26" s="257">
        <f t="shared" si="6"/>
        <v>90000</v>
      </c>
      <c r="I26" s="257">
        <f t="shared" si="6"/>
        <v>90000</v>
      </c>
      <c r="J26" s="257">
        <f t="shared" si="6"/>
        <v>90000</v>
      </c>
      <c r="K26" s="257">
        <f t="shared" si="6"/>
        <v>90000</v>
      </c>
      <c r="L26" s="257">
        <f t="shared" si="6"/>
        <v>90000</v>
      </c>
      <c r="M26" s="257">
        <f t="shared" si="6"/>
        <v>102500</v>
      </c>
      <c r="N26" s="257">
        <f t="shared" si="6"/>
        <v>95000</v>
      </c>
      <c r="O26" s="263">
        <f>SUM(O22:O25)</f>
        <v>1030000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1710000</v>
      </c>
      <c r="D28" s="255">
        <f t="shared" ref="D28:O28" si="7">D21-D26</f>
        <v>1710000</v>
      </c>
      <c r="E28" s="255">
        <f t="shared" si="7"/>
        <v>1710000</v>
      </c>
      <c r="F28" s="255">
        <f t="shared" si="7"/>
        <v>0</v>
      </c>
      <c r="G28" s="255">
        <f>G21-G26</f>
        <v>2137500</v>
      </c>
      <c r="H28" s="255">
        <f t="shared" si="7"/>
        <v>1710000</v>
      </c>
      <c r="I28" s="255">
        <f t="shared" si="7"/>
        <v>1710000</v>
      </c>
      <c r="J28" s="255">
        <f t="shared" si="7"/>
        <v>1710000</v>
      </c>
      <c r="K28" s="255">
        <f t="shared" si="7"/>
        <v>1710000</v>
      </c>
      <c r="L28" s="255">
        <f t="shared" si="7"/>
        <v>1710000</v>
      </c>
      <c r="M28" s="255">
        <f t="shared" si="7"/>
        <v>1947500</v>
      </c>
      <c r="N28" s="255">
        <f t="shared" si="7"/>
        <v>1805000</v>
      </c>
      <c r="O28" s="255">
        <f t="shared" si="7"/>
        <v>19570000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20520000</v>
      </c>
      <c r="D30" s="253">
        <f>SUM(C28:D28)*D10/D11</f>
        <v>20520000</v>
      </c>
      <c r="E30" s="253">
        <f>SUM(C28:E28)*E10/E11</f>
        <v>20520000</v>
      </c>
      <c r="F30" s="253">
        <f>SUM(C28:F28)*F10/F11</f>
        <v>15390000</v>
      </c>
      <c r="G30" s="253">
        <f>SUM(C28:G28)*G10/G11</f>
        <v>17442000</v>
      </c>
      <c r="H30" s="253">
        <f>SUM(C28:H28)*H10/H11</f>
        <v>17955000</v>
      </c>
      <c r="I30" s="253">
        <f>SUM(C28:I28)*I10/I11</f>
        <v>18321428.571428571</v>
      </c>
      <c r="J30" s="253">
        <f>SUM(C28:J28)*J10/J11</f>
        <v>18596250</v>
      </c>
      <c r="K30" s="253">
        <f>SUM(C28:K28)*K10/K11</f>
        <v>18810000</v>
      </c>
      <c r="L30" s="253">
        <f>SUM(C28:L28)*L10/L11</f>
        <v>18981000</v>
      </c>
      <c r="M30" s="253">
        <f>SUM(C28:M28)*M10/M11</f>
        <v>19380000</v>
      </c>
      <c r="N30" s="253">
        <f>SUM(C28:N28)*N10/N11</f>
        <v>19570000</v>
      </c>
      <c r="O30" s="254">
        <f>O28</f>
        <v>19570000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72000000</v>
      </c>
      <c r="D31" s="255">
        <f t="shared" si="8"/>
        <v>72000000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103">
        <f>IF(P32&lt;0,0,IF(P32&lt;50000000,P32*5%,IF(P32&lt;250000000,(P32-50000000)*15%+2500000,IF(P32&lt;500000000,(P32-250000000)*25%+32500000,IF(P32&gt;500000000,(P32-500000000)*30%+95000000)))))</f>
        <v>0</v>
      </c>
      <c r="Q33" s="103">
        <f>IF(Q32&lt;0,0,IF(Q32&lt;50000000,Q32*5%,IF(Q32&lt;250000000,(Q32-50000000)*15%+2500000,IF(Q32&lt;500000000,(Q32-250000000)*25%+32500000,IF(Q32&gt;500000000,(Q32-500000000)*30%+95000000)))))</f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2">D33-D34</f>
        <v>0</v>
      </c>
      <c r="E35" s="255">
        <f t="shared" si="12"/>
        <v>0</v>
      </c>
      <c r="F35" s="255">
        <f t="shared" si="12"/>
        <v>0</v>
      </c>
      <c r="G35" s="255">
        <f t="shared" si="12"/>
        <v>0</v>
      </c>
      <c r="H35" s="255">
        <f t="shared" si="12"/>
        <v>0</v>
      </c>
      <c r="I35" s="255">
        <f t="shared" si="12"/>
        <v>0</v>
      </c>
      <c r="J35" s="255">
        <f t="shared" si="12"/>
        <v>0</v>
      </c>
      <c r="K35" s="255">
        <f t="shared" si="12"/>
        <v>0</v>
      </c>
      <c r="L35" s="255">
        <f t="shared" si="12"/>
        <v>0</v>
      </c>
      <c r="M35" s="255">
        <f t="shared" si="12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3">C21-C25-C36</f>
        <v>1800000</v>
      </c>
      <c r="D41" s="50">
        <f t="shared" si="13"/>
        <v>1800000</v>
      </c>
      <c r="E41" s="50">
        <f t="shared" si="13"/>
        <v>1800000</v>
      </c>
      <c r="F41" s="50">
        <f t="shared" si="13"/>
        <v>0</v>
      </c>
      <c r="G41" s="50">
        <f t="shared" si="13"/>
        <v>2250000</v>
      </c>
      <c r="H41" s="50">
        <f t="shared" si="13"/>
        <v>1800000</v>
      </c>
      <c r="I41" s="50">
        <f t="shared" si="13"/>
        <v>1800000</v>
      </c>
      <c r="J41" s="50">
        <f t="shared" si="13"/>
        <v>1800000</v>
      </c>
      <c r="K41" s="50">
        <f>K21-K25-K36</f>
        <v>1800000</v>
      </c>
      <c r="L41" s="50">
        <f>L21-L25-L36</f>
        <v>1800000</v>
      </c>
      <c r="M41" s="50">
        <f>M21-M25-M36</f>
        <v>2050000</v>
      </c>
      <c r="N41" s="50">
        <f>N21-N25-N36</f>
        <v>1900000</v>
      </c>
      <c r="O41" s="50">
        <f>O21-O25-O36-O38</f>
        <v>20600000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5400-000000000000}"/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6"/>
  <dimension ref="A1:V51"/>
  <sheetViews>
    <sheetView workbookViewId="0">
      <selection activeCell="C11" sqref="C11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ht="15.75" thickBot="1" x14ac:dyDescent="0.3">
      <c r="A1" s="6" t="s">
        <v>52</v>
      </c>
      <c r="B1" s="142" t="s">
        <v>594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>
        <f>SUM(C9:N9)</f>
        <v>0</v>
      </c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>
        <f>SUM(C11:N11)</f>
        <v>0</v>
      </c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0</v>
      </c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>
        <f>SUM(O9:O14)</f>
        <v>0</v>
      </c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>D15+D16</f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>IF(D17*5%&lt;500000,D17*5%,500000)</f>
        <v>0</v>
      </c>
      <c r="E19" s="37">
        <f t="shared" ref="E19:N19" si="3">IF(E17*5%&lt;500000,E17*5%,500000)</f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 t="shared" ref="C24:N24" si="5">C17-C22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54000000</v>
      </c>
      <c r="D27" s="53">
        <f>C27</f>
        <v>54000000</v>
      </c>
      <c r="E27" s="53">
        <f t="shared" ref="E27:M27" si="6">D27</f>
        <v>54000000</v>
      </c>
      <c r="F27" s="53">
        <f t="shared" si="6"/>
        <v>54000000</v>
      </c>
      <c r="G27" s="53">
        <f t="shared" si="6"/>
        <v>54000000</v>
      </c>
      <c r="H27" s="53">
        <f>G27</f>
        <v>54000000</v>
      </c>
      <c r="I27" s="53">
        <f t="shared" si="6"/>
        <v>54000000</v>
      </c>
      <c r="J27" s="53">
        <f t="shared" si="6"/>
        <v>54000000</v>
      </c>
      <c r="K27" s="53">
        <f t="shared" si="6"/>
        <v>54000000</v>
      </c>
      <c r="L27" s="53">
        <f t="shared" si="6"/>
        <v>54000000</v>
      </c>
      <c r="M27" s="53">
        <f t="shared" si="6"/>
        <v>54000000</v>
      </c>
      <c r="N27" s="53">
        <f>M27</f>
        <v>54000000</v>
      </c>
      <c r="O27" s="53">
        <f>N27</f>
        <v>54000000</v>
      </c>
      <c r="P27" s="103">
        <f>O27</f>
        <v>54000000</v>
      </c>
      <c r="Q27" s="103">
        <f>P27</f>
        <v>54000000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(G31/12*5*120%-SUM(C32:F32))+P33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f>P31/12</f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9:N9 D10:N14 P9:Q14" xr:uid="{00000000-0002-0000-5500-000000000000}"/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87"/>
  <dimension ref="A1:V59"/>
  <sheetViews>
    <sheetView topLeftCell="C1" zoomScale="66" workbookViewId="0">
      <selection activeCell="Q14" sqref="Q14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ht="15.75" thickBot="1" x14ac:dyDescent="0.3">
      <c r="A1" s="6" t="s">
        <v>52</v>
      </c>
      <c r="B1" s="142" t="s">
        <v>595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3250000</v>
      </c>
      <c r="D13" s="92">
        <v>3250000</v>
      </c>
      <c r="E13" s="162">
        <v>3500000</v>
      </c>
      <c r="F13" s="92"/>
      <c r="G13" s="92">
        <v>3267000</v>
      </c>
      <c r="H13" s="92"/>
      <c r="I13" s="92"/>
      <c r="J13" s="92"/>
      <c r="K13" s="92"/>
      <c r="L13" s="92"/>
      <c r="M13" s="92"/>
      <c r="N13" s="92"/>
      <c r="O13" s="32">
        <f>SUM(C13:N13)</f>
        <v>13267000</v>
      </c>
      <c r="P13" s="123">
        <f t="shared" ref="P13:P18" si="1">Q13</f>
        <v>0</v>
      </c>
      <c r="Q13" s="123">
        <f>F13*12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3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3250000</v>
      </c>
      <c r="D19" s="37">
        <f>SUM(D13:D18)</f>
        <v>3250000</v>
      </c>
      <c r="E19" s="37">
        <f>SUM(E13:E18)</f>
        <v>3500000</v>
      </c>
      <c r="F19" s="37"/>
      <c r="G19" s="37">
        <f>SUM(G13:G18)</f>
        <v>3267000</v>
      </c>
      <c r="H19" s="37">
        <f>SUM(H13:H18)</f>
        <v>0</v>
      </c>
      <c r="I19" s="37"/>
      <c r="J19" s="37"/>
      <c r="K19" s="37"/>
      <c r="L19" s="37"/>
      <c r="M19" s="37"/>
      <c r="N19" s="37"/>
      <c r="O19" s="38">
        <f>SUM(O13:O18)</f>
        <v>13267000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3250000</v>
      </c>
      <c r="D21" s="259">
        <f t="shared" ref="D21:N21" si="3">D19+D20</f>
        <v>3250000</v>
      </c>
      <c r="E21" s="259">
        <f t="shared" si="3"/>
        <v>3500000</v>
      </c>
      <c r="F21" s="259">
        <f t="shared" si="3"/>
        <v>0</v>
      </c>
      <c r="G21" s="259">
        <f>G19+G20</f>
        <v>3267000</v>
      </c>
      <c r="H21" s="259">
        <f t="shared" si="3"/>
        <v>0</v>
      </c>
      <c r="I21" s="259">
        <f t="shared" si="3"/>
        <v>0</v>
      </c>
      <c r="J21" s="259">
        <f t="shared" si="3"/>
        <v>0</v>
      </c>
      <c r="K21" s="259">
        <f t="shared" si="3"/>
        <v>0</v>
      </c>
      <c r="L21" s="259">
        <f t="shared" si="3"/>
        <v>0</v>
      </c>
      <c r="M21" s="259">
        <f t="shared" si="3"/>
        <v>0</v>
      </c>
      <c r="N21" s="259">
        <f t="shared" si="3"/>
        <v>0</v>
      </c>
      <c r="O21" s="259">
        <f>O19+O20</f>
        <v>13267000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162500</v>
      </c>
      <c r="D23" s="257">
        <f t="shared" ref="D23:O23" si="4">IF(D21*5%&lt;500000,D21*5%,500000)</f>
        <v>162500</v>
      </c>
      <c r="E23" s="257">
        <f t="shared" si="4"/>
        <v>175000</v>
      </c>
      <c r="F23" s="257">
        <f t="shared" si="4"/>
        <v>0</v>
      </c>
      <c r="G23" s="257">
        <f>IF(G21*5%&lt;500000,G21*5%,500000)</f>
        <v>163350</v>
      </c>
      <c r="H23" s="257">
        <f t="shared" si="4"/>
        <v>0</v>
      </c>
      <c r="I23" s="257">
        <f t="shared" si="4"/>
        <v>0</v>
      </c>
      <c r="J23" s="257">
        <f t="shared" si="4"/>
        <v>0</v>
      </c>
      <c r="K23" s="257">
        <f t="shared" si="4"/>
        <v>0</v>
      </c>
      <c r="L23" s="257">
        <f t="shared" si="4"/>
        <v>0</v>
      </c>
      <c r="M23" s="257">
        <f t="shared" si="4"/>
        <v>0</v>
      </c>
      <c r="N23" s="257">
        <f t="shared" si="4"/>
        <v>0</v>
      </c>
      <c r="O23" s="257">
        <f>IF(O21*5%&lt;6000000,O21*5%,6000000)</f>
        <v>663350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5">SUM(C23:C25)</f>
        <v>162500</v>
      </c>
      <c r="D26" s="257">
        <f t="shared" si="5"/>
        <v>162500</v>
      </c>
      <c r="E26" s="257">
        <f t="shared" si="5"/>
        <v>175000</v>
      </c>
      <c r="F26" s="257">
        <f t="shared" si="5"/>
        <v>0</v>
      </c>
      <c r="G26" s="257">
        <f>SUM(G23:G25)</f>
        <v>163350</v>
      </c>
      <c r="H26" s="257">
        <f t="shared" si="5"/>
        <v>0</v>
      </c>
      <c r="I26" s="257">
        <f t="shared" si="5"/>
        <v>0</v>
      </c>
      <c r="J26" s="257">
        <f t="shared" si="5"/>
        <v>0</v>
      </c>
      <c r="K26" s="257">
        <f t="shared" si="5"/>
        <v>0</v>
      </c>
      <c r="L26" s="257">
        <f t="shared" si="5"/>
        <v>0</v>
      </c>
      <c r="M26" s="257">
        <f t="shared" si="5"/>
        <v>0</v>
      </c>
      <c r="N26" s="257">
        <f t="shared" si="5"/>
        <v>0</v>
      </c>
      <c r="O26" s="263">
        <f>SUM(O22:O25)</f>
        <v>663350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3087500</v>
      </c>
      <c r="D28" s="255">
        <f t="shared" ref="D28:O28" si="6">D21-D26</f>
        <v>3087500</v>
      </c>
      <c r="E28" s="255">
        <f t="shared" si="6"/>
        <v>3325000</v>
      </c>
      <c r="F28" s="255">
        <f t="shared" si="6"/>
        <v>0</v>
      </c>
      <c r="G28" s="255">
        <f>G21-G26</f>
        <v>3103650</v>
      </c>
      <c r="H28" s="255">
        <f t="shared" si="6"/>
        <v>0</v>
      </c>
      <c r="I28" s="255">
        <f t="shared" si="6"/>
        <v>0</v>
      </c>
      <c r="J28" s="255">
        <f t="shared" si="6"/>
        <v>0</v>
      </c>
      <c r="K28" s="255">
        <f t="shared" si="6"/>
        <v>0</v>
      </c>
      <c r="L28" s="255">
        <f t="shared" si="6"/>
        <v>0</v>
      </c>
      <c r="M28" s="255">
        <f t="shared" si="6"/>
        <v>0</v>
      </c>
      <c r="N28" s="255">
        <f t="shared" si="6"/>
        <v>0</v>
      </c>
      <c r="O28" s="255">
        <f t="shared" si="6"/>
        <v>12603650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37050000</v>
      </c>
      <c r="D30" s="253">
        <f>SUM(C28:D28)*D10/D11</f>
        <v>37050000</v>
      </c>
      <c r="E30" s="253">
        <f>SUM(C28:E28)*E10/E11</f>
        <v>38000000</v>
      </c>
      <c r="F30" s="253">
        <f>SUM(C28:F28)*F10/F11</f>
        <v>28500000</v>
      </c>
      <c r="G30" s="253">
        <f>SUM(C28:G28)*G10/G11</f>
        <v>30248760</v>
      </c>
      <c r="H30" s="253">
        <f>SUM(C28:H28)*H10/H11</f>
        <v>25207300</v>
      </c>
      <c r="I30" s="253">
        <f>SUM(C28:I28)*I10/I11</f>
        <v>21606257.142857142</v>
      </c>
      <c r="J30" s="253">
        <f>SUM(C28:J28)*J10/J11</f>
        <v>18905475</v>
      </c>
      <c r="K30" s="253">
        <f>SUM(C28:K28)*K10/K11</f>
        <v>16804866.666666668</v>
      </c>
      <c r="L30" s="253">
        <f>SUM(C28:L28)*L10/L11</f>
        <v>15124380</v>
      </c>
      <c r="M30" s="253">
        <f>SUM(C28:M28)*M10/M11</f>
        <v>13749436.363636363</v>
      </c>
      <c r="N30" s="253">
        <f>SUM(C28:N28)*N10/N11</f>
        <v>12603650</v>
      </c>
      <c r="O30" s="254">
        <f>O28</f>
        <v>12603650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7">IF(C30&gt;0,VLOOKUP(C9,$B$47:$C$59,2,FALSE),0)</f>
        <v>54000000</v>
      </c>
      <c r="D31" s="255">
        <f t="shared" si="7"/>
        <v>54000000</v>
      </c>
      <c r="E31" s="255">
        <f t="shared" si="7"/>
        <v>54000000</v>
      </c>
      <c r="F31" s="255">
        <f t="shared" si="7"/>
        <v>54000000</v>
      </c>
      <c r="G31" s="255">
        <f>IF(G30&gt;0,VLOOKUP(G9,$B$47:$C$59,2,FALSE),0)</f>
        <v>54000000</v>
      </c>
      <c r="H31" s="255">
        <f t="shared" si="7"/>
        <v>54000000</v>
      </c>
      <c r="I31" s="255">
        <f t="shared" si="7"/>
        <v>54000000</v>
      </c>
      <c r="J31" s="255">
        <f t="shared" si="7"/>
        <v>54000000</v>
      </c>
      <c r="K31" s="255">
        <f t="shared" si="7"/>
        <v>54000000</v>
      </c>
      <c r="L31" s="255">
        <f t="shared" si="7"/>
        <v>54000000</v>
      </c>
      <c r="M31" s="255">
        <f t="shared" si="7"/>
        <v>54000000</v>
      </c>
      <c r="N31" s="255">
        <f t="shared" si="7"/>
        <v>54000000</v>
      </c>
      <c r="O31" s="255">
        <f t="shared" si="7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8">ROUNDDOWN(IF(D30&lt;=D31,0,IF(D30&gt;D31,D30-D31)),-3)</f>
        <v>0</v>
      </c>
      <c r="E32" s="256">
        <f t="shared" si="8"/>
        <v>0</v>
      </c>
      <c r="F32" s="256">
        <f t="shared" si="8"/>
        <v>0</v>
      </c>
      <c r="G32" s="256">
        <f t="shared" si="8"/>
        <v>0</v>
      </c>
      <c r="H32" s="256">
        <f t="shared" si="8"/>
        <v>0</v>
      </c>
      <c r="I32" s="256">
        <f>ROUNDDOWN(IF(I30&lt;=I31,0,IF(I30&gt;I31,I30-I31)),-3)</f>
        <v>0</v>
      </c>
      <c r="J32" s="256">
        <f t="shared" si="8"/>
        <v>0</v>
      </c>
      <c r="K32" s="256">
        <f t="shared" si="8"/>
        <v>0</v>
      </c>
      <c r="L32" s="256">
        <f t="shared" si="8"/>
        <v>0</v>
      </c>
      <c r="M32" s="256">
        <f t="shared" si="8"/>
        <v>0</v>
      </c>
      <c r="N32" s="256">
        <f t="shared" si="8"/>
        <v>0</v>
      </c>
      <c r="O32" s="256">
        <f t="shared" si="8"/>
        <v>0</v>
      </c>
      <c r="P32" s="103">
        <f t="shared" ref="D32:Q32" si="9">ROUNDDOWN(IF(P30&lt;=P31,0,IF(P30&gt;P31,P30-P31)),-3)</f>
        <v>0</v>
      </c>
      <c r="Q32" s="103">
        <f t="shared" si="9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0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0"/>
        <v>0</v>
      </c>
      <c r="E33" s="257">
        <f t="shared" si="10"/>
        <v>0</v>
      </c>
      <c r="F33" s="257">
        <f t="shared" si="10"/>
        <v>0</v>
      </c>
      <c r="G33" s="257">
        <f t="shared" si="10"/>
        <v>0</v>
      </c>
      <c r="H33" s="257">
        <f t="shared" si="10"/>
        <v>0</v>
      </c>
      <c r="I33" s="257">
        <f t="shared" si="10"/>
        <v>0</v>
      </c>
      <c r="J33" s="257">
        <f t="shared" si="10"/>
        <v>0</v>
      </c>
      <c r="K33" s="257">
        <f t="shared" si="10"/>
        <v>0</v>
      </c>
      <c r="L33" s="257">
        <f t="shared" si="10"/>
        <v>0</v>
      </c>
      <c r="M33" s="257">
        <f t="shared" si="10"/>
        <v>0</v>
      </c>
      <c r="N33" s="257">
        <f t="shared" si="10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1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1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2">D33-D34</f>
        <v>0</v>
      </c>
      <c r="E35" s="255">
        <f t="shared" si="12"/>
        <v>0</v>
      </c>
      <c r="F35" s="255">
        <f t="shared" si="12"/>
        <v>0</v>
      </c>
      <c r="G35" s="255">
        <f t="shared" si="12"/>
        <v>0</v>
      </c>
      <c r="H35" s="255">
        <f t="shared" si="12"/>
        <v>0</v>
      </c>
      <c r="I35" s="255">
        <f t="shared" si="12"/>
        <v>0</v>
      </c>
      <c r="J35" s="255">
        <f t="shared" si="12"/>
        <v>0</v>
      </c>
      <c r="K35" s="255">
        <f t="shared" si="12"/>
        <v>0</v>
      </c>
      <c r="L35" s="255">
        <f t="shared" si="12"/>
        <v>0</v>
      </c>
      <c r="M35" s="255">
        <f t="shared" si="12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3">C21-C25-C36</f>
        <v>3250000</v>
      </c>
      <c r="D41" s="50">
        <f t="shared" si="13"/>
        <v>3250000</v>
      </c>
      <c r="E41" s="50">
        <f t="shared" si="13"/>
        <v>3500000</v>
      </c>
      <c r="F41" s="50">
        <f t="shared" si="13"/>
        <v>0</v>
      </c>
      <c r="G41" s="50">
        <f t="shared" si="13"/>
        <v>3267000</v>
      </c>
      <c r="H41" s="50">
        <f t="shared" si="13"/>
        <v>0</v>
      </c>
      <c r="I41" s="50">
        <f t="shared" si="13"/>
        <v>0</v>
      </c>
      <c r="J41" s="50">
        <f t="shared" si="13"/>
        <v>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0</v>
      </c>
      <c r="O41" s="50">
        <f>O21-O25-O36-O38</f>
        <v>13267000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13:N13 D14:N18 P13:Q18" xr:uid="{00000000-0002-0000-5600-000000000000}"/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Sheet88"/>
  <dimension ref="A1:V59"/>
  <sheetViews>
    <sheetView topLeftCell="B1" zoomScale="59" workbookViewId="0">
      <selection activeCell="Q14" sqref="Q14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ht="15.75" thickBot="1" x14ac:dyDescent="0.3">
      <c r="A1" s="6" t="s">
        <v>52</v>
      </c>
      <c r="B1" s="142" t="s">
        <v>596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2200000</v>
      </c>
      <c r="D13" s="162">
        <v>2500000</v>
      </c>
      <c r="E13" s="162">
        <v>2500000</v>
      </c>
      <c r="F13" s="92"/>
      <c r="G13" s="92">
        <v>1750000</v>
      </c>
      <c r="H13" s="92">
        <v>2500000</v>
      </c>
      <c r="I13" s="92"/>
      <c r="J13" s="92">
        <v>2700000</v>
      </c>
      <c r="K13" s="92"/>
      <c r="L13" s="92"/>
      <c r="M13" s="92"/>
      <c r="N13" s="92"/>
      <c r="O13" s="32">
        <f>SUM(C13:N13)</f>
        <v>14150000</v>
      </c>
      <c r="P13" s="123">
        <f t="shared" ref="P13:P18" si="1">Q13</f>
        <v>0</v>
      </c>
      <c r="Q13" s="123">
        <f>F13*12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3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2200000</v>
      </c>
      <c r="D19" s="37">
        <f t="shared" ref="D19:J19" si="3">SUM(D13:D18)</f>
        <v>2500000</v>
      </c>
      <c r="E19" s="37">
        <f t="shared" si="3"/>
        <v>2500000</v>
      </c>
      <c r="F19" s="37"/>
      <c r="G19" s="37">
        <f t="shared" si="3"/>
        <v>1750000</v>
      </c>
      <c r="H19" s="37">
        <f t="shared" si="3"/>
        <v>2500000</v>
      </c>
      <c r="I19" s="37"/>
      <c r="J19" s="37">
        <f t="shared" si="3"/>
        <v>2700000</v>
      </c>
      <c r="K19" s="37"/>
      <c r="L19" s="37"/>
      <c r="M19" s="37"/>
      <c r="N19" s="37"/>
      <c r="O19" s="38">
        <f>SUM(O13:O18)</f>
        <v>14150000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2200000</v>
      </c>
      <c r="D21" s="259">
        <f t="shared" ref="D21:N21" si="4">D19+D20</f>
        <v>2500000</v>
      </c>
      <c r="E21" s="259">
        <f t="shared" si="4"/>
        <v>2500000</v>
      </c>
      <c r="F21" s="259">
        <f t="shared" si="4"/>
        <v>0</v>
      </c>
      <c r="G21" s="259">
        <f>G19+G20</f>
        <v>1750000</v>
      </c>
      <c r="H21" s="259">
        <f t="shared" si="4"/>
        <v>2500000</v>
      </c>
      <c r="I21" s="259">
        <f t="shared" si="4"/>
        <v>0</v>
      </c>
      <c r="J21" s="259">
        <f t="shared" si="4"/>
        <v>2700000</v>
      </c>
      <c r="K21" s="259">
        <f t="shared" si="4"/>
        <v>0</v>
      </c>
      <c r="L21" s="259">
        <f t="shared" si="4"/>
        <v>0</v>
      </c>
      <c r="M21" s="259">
        <f t="shared" si="4"/>
        <v>0</v>
      </c>
      <c r="N21" s="259">
        <f t="shared" si="4"/>
        <v>0</v>
      </c>
      <c r="O21" s="259">
        <f>O19+O20</f>
        <v>14150000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110000</v>
      </c>
      <c r="D23" s="257">
        <f t="shared" ref="D23:O23" si="5">IF(D21*5%&lt;500000,D21*5%,500000)</f>
        <v>125000</v>
      </c>
      <c r="E23" s="257">
        <f t="shared" si="5"/>
        <v>125000</v>
      </c>
      <c r="F23" s="257">
        <f t="shared" si="5"/>
        <v>0</v>
      </c>
      <c r="G23" s="257">
        <f>IF(G21*5%&lt;500000,G21*5%,500000)</f>
        <v>87500</v>
      </c>
      <c r="H23" s="257">
        <f t="shared" si="5"/>
        <v>125000</v>
      </c>
      <c r="I23" s="257">
        <f t="shared" si="5"/>
        <v>0</v>
      </c>
      <c r="J23" s="257">
        <f t="shared" si="5"/>
        <v>135000</v>
      </c>
      <c r="K23" s="257">
        <f t="shared" si="5"/>
        <v>0</v>
      </c>
      <c r="L23" s="257">
        <f t="shared" si="5"/>
        <v>0</v>
      </c>
      <c r="M23" s="257">
        <f t="shared" si="5"/>
        <v>0</v>
      </c>
      <c r="N23" s="257">
        <f t="shared" si="5"/>
        <v>0</v>
      </c>
      <c r="O23" s="257">
        <f>IF(O21*5%&lt;6000000,O21*5%,6000000)</f>
        <v>707500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110000</v>
      </c>
      <c r="D26" s="257">
        <f t="shared" si="6"/>
        <v>125000</v>
      </c>
      <c r="E26" s="257">
        <f t="shared" si="6"/>
        <v>125000</v>
      </c>
      <c r="F26" s="257">
        <f t="shared" si="6"/>
        <v>0</v>
      </c>
      <c r="G26" s="257">
        <f>SUM(G23:G25)</f>
        <v>87500</v>
      </c>
      <c r="H26" s="257">
        <f t="shared" si="6"/>
        <v>125000</v>
      </c>
      <c r="I26" s="257">
        <f t="shared" si="6"/>
        <v>0</v>
      </c>
      <c r="J26" s="257">
        <f t="shared" si="6"/>
        <v>135000</v>
      </c>
      <c r="K26" s="257">
        <f t="shared" si="6"/>
        <v>0</v>
      </c>
      <c r="L26" s="257">
        <f t="shared" si="6"/>
        <v>0</v>
      </c>
      <c r="M26" s="257">
        <f t="shared" si="6"/>
        <v>0</v>
      </c>
      <c r="N26" s="257">
        <f t="shared" si="6"/>
        <v>0</v>
      </c>
      <c r="O26" s="263">
        <f>SUM(O22:O25)</f>
        <v>707500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2090000</v>
      </c>
      <c r="D28" s="255">
        <f t="shared" ref="D28:O28" si="7">D21-D26</f>
        <v>2375000</v>
      </c>
      <c r="E28" s="255">
        <f t="shared" si="7"/>
        <v>2375000</v>
      </c>
      <c r="F28" s="255">
        <f t="shared" si="7"/>
        <v>0</v>
      </c>
      <c r="G28" s="255">
        <f>G21-G26</f>
        <v>1662500</v>
      </c>
      <c r="H28" s="255">
        <f t="shared" si="7"/>
        <v>2375000</v>
      </c>
      <c r="I28" s="255">
        <f t="shared" si="7"/>
        <v>0</v>
      </c>
      <c r="J28" s="255">
        <f t="shared" si="7"/>
        <v>2565000</v>
      </c>
      <c r="K28" s="255">
        <f t="shared" si="7"/>
        <v>0</v>
      </c>
      <c r="L28" s="255">
        <f t="shared" si="7"/>
        <v>0</v>
      </c>
      <c r="M28" s="255">
        <f t="shared" si="7"/>
        <v>0</v>
      </c>
      <c r="N28" s="255">
        <f t="shared" si="7"/>
        <v>0</v>
      </c>
      <c r="O28" s="255">
        <f t="shared" si="7"/>
        <v>13442500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25080000</v>
      </c>
      <c r="D30" s="253">
        <f>SUM(C28:D28)*D10/D11</f>
        <v>26790000</v>
      </c>
      <c r="E30" s="253">
        <f>SUM(C28:E28)*E10/E11</f>
        <v>27360000</v>
      </c>
      <c r="F30" s="253">
        <f>SUM(C28:F28)*F10/F11</f>
        <v>20520000</v>
      </c>
      <c r="G30" s="253">
        <f>SUM(C28:G28)*G10/G11</f>
        <v>20406000</v>
      </c>
      <c r="H30" s="253">
        <f>SUM(C28:H28)*H10/H11</f>
        <v>21755000</v>
      </c>
      <c r="I30" s="253">
        <f>SUM(C28:I28)*I10/I11</f>
        <v>18647142.857142858</v>
      </c>
      <c r="J30" s="253">
        <f>SUM(C28:J28)*J10/J11</f>
        <v>20163750</v>
      </c>
      <c r="K30" s="253">
        <f>SUM(C28:K28)*K10/K11</f>
        <v>17923333.333333332</v>
      </c>
      <c r="L30" s="253">
        <f>SUM(C28:L28)*L10/L11</f>
        <v>16131000</v>
      </c>
      <c r="M30" s="253">
        <f>SUM(C28:M28)*M10/M11</f>
        <v>14664545.454545455</v>
      </c>
      <c r="N30" s="253">
        <f>SUM(C28:N28)*N10/N11</f>
        <v>13442500</v>
      </c>
      <c r="O30" s="254">
        <f>O28</f>
        <v>13442500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54000000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2200000</v>
      </c>
      <c r="D41" s="50">
        <f t="shared" si="14"/>
        <v>2500000</v>
      </c>
      <c r="E41" s="50">
        <f t="shared" si="14"/>
        <v>2500000</v>
      </c>
      <c r="F41" s="50">
        <f t="shared" si="14"/>
        <v>0</v>
      </c>
      <c r="G41" s="50">
        <f t="shared" si="14"/>
        <v>1750000</v>
      </c>
      <c r="H41" s="50">
        <f t="shared" si="14"/>
        <v>2500000</v>
      </c>
      <c r="I41" s="50">
        <f t="shared" si="14"/>
        <v>0</v>
      </c>
      <c r="J41" s="50">
        <f t="shared" si="14"/>
        <v>2700000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0</v>
      </c>
      <c r="O41" s="50">
        <f>O21-O25-O36-O38</f>
        <v>14150000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5700-000000000000}"/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Sheet89"/>
  <dimension ref="A1:V51"/>
  <sheetViews>
    <sheetView workbookViewId="0">
      <selection activeCell="B6" sqref="B6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ht="15.75" thickBot="1" x14ac:dyDescent="0.3">
      <c r="A1" s="6" t="s">
        <v>52</v>
      </c>
      <c r="B1" s="142" t="s">
        <v>597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23"/>
      <c r="B7" s="24"/>
      <c r="C7" s="25"/>
      <c r="D7" s="25"/>
      <c r="E7" s="25"/>
      <c r="F7" s="25"/>
      <c r="G7" s="25"/>
      <c r="H7" s="25"/>
      <c r="I7" s="25"/>
      <c r="J7" s="25"/>
      <c r="K7" s="25"/>
      <c r="L7" s="7"/>
      <c r="M7" s="25"/>
      <c r="N7" s="25"/>
      <c r="O7" s="23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29" t="s">
        <v>39</v>
      </c>
      <c r="D8" s="29" t="s">
        <v>40</v>
      </c>
      <c r="E8" s="29" t="s">
        <v>41</v>
      </c>
      <c r="F8" s="29" t="s">
        <v>2</v>
      </c>
      <c r="G8" s="29" t="s">
        <v>42</v>
      </c>
      <c r="H8" s="29" t="s">
        <v>43</v>
      </c>
      <c r="I8" s="29" t="s">
        <v>44</v>
      </c>
      <c r="J8" s="29" t="s">
        <v>45</v>
      </c>
      <c r="K8" s="29" t="s">
        <v>46</v>
      </c>
      <c r="L8" s="29" t="s">
        <v>47</v>
      </c>
      <c r="M8" s="29" t="s">
        <v>48</v>
      </c>
      <c r="N8" s="29" t="s">
        <v>49</v>
      </c>
      <c r="O8" s="29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32">
        <f>SUM(C9:N9)</f>
        <v>0</v>
      </c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33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32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33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32">
        <f>SUM(C11:N11)</f>
        <v>0</v>
      </c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33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32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33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0</v>
      </c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6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>
        <f>SUM(O9:O14)</f>
        <v>0</v>
      </c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33"/>
      <c r="D16" s="33"/>
      <c r="E16" s="33"/>
      <c r="F16" s="33"/>
      <c r="G16" s="33"/>
      <c r="H16" s="33"/>
      <c r="I16" s="33"/>
      <c r="J16" s="33"/>
      <c r="K16" s="26"/>
      <c r="L16" s="26"/>
      <c r="M16" s="26"/>
      <c r="N16" s="26"/>
      <c r="O16" s="32"/>
      <c r="P16" s="110"/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53">
        <f t="shared" ref="C17:N17" si="2">C15+C16</f>
        <v>0</v>
      </c>
      <c r="D17" s="53">
        <f>D15+D16</f>
        <v>0</v>
      </c>
      <c r="E17" s="53">
        <f t="shared" si="2"/>
        <v>0</v>
      </c>
      <c r="F17" s="53">
        <f t="shared" si="2"/>
        <v>0</v>
      </c>
      <c r="G17" s="53">
        <f t="shared" si="2"/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>L15+L16</f>
        <v>0</v>
      </c>
      <c r="M17" s="53">
        <f t="shared" si="2"/>
        <v>0</v>
      </c>
      <c r="N17" s="53">
        <f t="shared" si="2"/>
        <v>0</v>
      </c>
      <c r="O17" s="5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33"/>
      <c r="D18" s="33"/>
      <c r="E18" s="33"/>
      <c r="F18" s="33"/>
      <c r="G18" s="33"/>
      <c r="H18" s="33"/>
      <c r="I18" s="33"/>
      <c r="J18" s="33"/>
      <c r="K18" s="26"/>
      <c r="L18" s="26"/>
      <c r="M18" s="26"/>
      <c r="N18" s="26"/>
      <c r="O18" s="32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37">
        <f>IF(C17*5%&lt;500000,C17*5%,500000)</f>
        <v>0</v>
      </c>
      <c r="D19" s="37">
        <f>IF(D17*5%&lt;500000,D17*5%,500000)</f>
        <v>0</v>
      </c>
      <c r="E19" s="37">
        <f t="shared" ref="E19:N19" si="3">IF(E17*5%&lt;500000,E17*5%,500000)</f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>IF(L17*5%&lt;500000,L17*5%,500000)</f>
        <v>0</v>
      </c>
      <c r="M19" s="37">
        <f t="shared" si="3"/>
        <v>0</v>
      </c>
      <c r="N19" s="37">
        <f t="shared" si="3"/>
        <v>0</v>
      </c>
      <c r="O19" s="32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2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37">
        <f t="shared" ref="C22:N22" si="4">SUM(C19:C21)</f>
        <v>0</v>
      </c>
      <c r="D22" s="37">
        <f t="shared" si="4"/>
        <v>0</v>
      </c>
      <c r="E22" s="37">
        <f t="shared" si="4"/>
        <v>0</v>
      </c>
      <c r="F22" s="37">
        <f t="shared" si="4"/>
        <v>0</v>
      </c>
      <c r="G22" s="37">
        <f t="shared" si="4"/>
        <v>0</v>
      </c>
      <c r="H22" s="37">
        <f t="shared" si="4"/>
        <v>0</v>
      </c>
      <c r="I22" s="37">
        <f t="shared" si="4"/>
        <v>0</v>
      </c>
      <c r="J22" s="37">
        <f t="shared" si="4"/>
        <v>0</v>
      </c>
      <c r="K22" s="37">
        <f t="shared" si="4"/>
        <v>0</v>
      </c>
      <c r="L22" s="37">
        <f>SUM(L19:L21)</f>
        <v>0</v>
      </c>
      <c r="M22" s="37">
        <f t="shared" si="4"/>
        <v>0</v>
      </c>
      <c r="N22" s="37">
        <f t="shared" si="4"/>
        <v>0</v>
      </c>
      <c r="O22" s="40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33"/>
      <c r="D23" s="33"/>
      <c r="E23" s="33"/>
      <c r="F23" s="33"/>
      <c r="G23" s="33"/>
      <c r="H23" s="33"/>
      <c r="I23" s="33"/>
      <c r="J23" s="33"/>
      <c r="K23" s="26"/>
      <c r="L23" s="26"/>
      <c r="M23" s="26"/>
      <c r="N23" s="26"/>
      <c r="O23" s="32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53">
        <f t="shared" ref="C24:N24" si="5">C17-C22</f>
        <v>0</v>
      </c>
      <c r="D24" s="53">
        <f t="shared" si="5"/>
        <v>0</v>
      </c>
      <c r="E24" s="53">
        <f t="shared" si="5"/>
        <v>0</v>
      </c>
      <c r="F24" s="53">
        <f t="shared" si="5"/>
        <v>0</v>
      </c>
      <c r="G24" s="53">
        <f t="shared" si="5"/>
        <v>0</v>
      </c>
      <c r="H24" s="53">
        <f t="shared" si="5"/>
        <v>0</v>
      </c>
      <c r="I24" s="53">
        <f t="shared" si="5"/>
        <v>0</v>
      </c>
      <c r="J24" s="53">
        <f t="shared" si="5"/>
        <v>0</v>
      </c>
      <c r="K24" s="53">
        <f t="shared" si="5"/>
        <v>0</v>
      </c>
      <c r="L24" s="53">
        <f>L17-L22</f>
        <v>0</v>
      </c>
      <c r="M24" s="53">
        <f t="shared" si="5"/>
        <v>0</v>
      </c>
      <c r="N24" s="53">
        <f t="shared" si="5"/>
        <v>0</v>
      </c>
      <c r="O24" s="5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33"/>
      <c r="D25" s="33"/>
      <c r="E25" s="33"/>
      <c r="F25" s="33"/>
      <c r="G25" s="33"/>
      <c r="H25" s="33"/>
      <c r="I25" s="33"/>
      <c r="J25" s="33"/>
      <c r="K25" s="26"/>
      <c r="L25" s="26"/>
      <c r="M25" s="26"/>
      <c r="N25" s="26"/>
      <c r="O25" s="32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43">
        <f>ROUNDDOWN(SUM(C24)*12/1,-3)</f>
        <v>0</v>
      </c>
      <c r="D26" s="43">
        <f>ROUNDDOWN(SUM(C24:D24)*12/2,-3)</f>
        <v>0</v>
      </c>
      <c r="E26" s="43">
        <f>ROUNDDOWN(SUM(C24:E24)*12/3,-3)</f>
        <v>0</v>
      </c>
      <c r="F26" s="43">
        <f>ROUNDDOWN(SUM(C24:F24)*12/4,-3)</f>
        <v>0</v>
      </c>
      <c r="G26" s="43">
        <f>ROUNDDOWN(SUM(C24:G24)*12/5,-3)</f>
        <v>0</v>
      </c>
      <c r="H26" s="43">
        <f>ROUNDDOWN(SUM(C24:H24)*12/6,-3)</f>
        <v>0</v>
      </c>
      <c r="I26" s="43">
        <f>ROUNDDOWN(SUM(C24:I24)*12/7,-3)</f>
        <v>0</v>
      </c>
      <c r="J26" s="43">
        <f>ROUNDDOWN(SUM(C24:J24)*12/8,-3)</f>
        <v>0</v>
      </c>
      <c r="K26" s="43">
        <f>ROUNDDOWN(SUM(C24:K24)*12/9,-3)</f>
        <v>0</v>
      </c>
      <c r="L26" s="43">
        <f>ROUNDDOWN(SUM(C24:L24)*12/10,-3)</f>
        <v>0</v>
      </c>
      <c r="M26" s="43">
        <f>ROUNDDOWN(SUM(C24:M24)*12/11,-3)</f>
        <v>0</v>
      </c>
      <c r="N26" s="43">
        <f>ROUNDDOWN(SUM(C24:N24)*12/12,-3)</f>
        <v>0</v>
      </c>
      <c r="O26" s="44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55" customFormat="1" ht="20.100000000000001" customHeight="1" x14ac:dyDescent="0.25">
      <c r="A27" s="51">
        <v>17</v>
      </c>
      <c r="B27" s="52" t="s">
        <v>27</v>
      </c>
      <c r="C27" s="53">
        <v>54000000</v>
      </c>
      <c r="D27" s="53">
        <f>C27</f>
        <v>54000000</v>
      </c>
      <c r="E27" s="53">
        <f t="shared" ref="E27:M27" si="6">D27</f>
        <v>54000000</v>
      </c>
      <c r="F27" s="53">
        <f t="shared" si="6"/>
        <v>54000000</v>
      </c>
      <c r="G27" s="53">
        <f t="shared" si="6"/>
        <v>54000000</v>
      </c>
      <c r="H27" s="53">
        <f>G27</f>
        <v>54000000</v>
      </c>
      <c r="I27" s="53">
        <f t="shared" si="6"/>
        <v>54000000</v>
      </c>
      <c r="J27" s="53">
        <f t="shared" si="6"/>
        <v>54000000</v>
      </c>
      <c r="K27" s="53">
        <f t="shared" si="6"/>
        <v>54000000</v>
      </c>
      <c r="L27" s="53">
        <f t="shared" si="6"/>
        <v>54000000</v>
      </c>
      <c r="M27" s="53">
        <f t="shared" si="6"/>
        <v>54000000</v>
      </c>
      <c r="N27" s="53">
        <f>M27</f>
        <v>54000000</v>
      </c>
      <c r="O27" s="53">
        <f>N27</f>
        <v>54000000</v>
      </c>
      <c r="P27" s="103">
        <f>O27</f>
        <v>54000000</v>
      </c>
      <c r="Q27" s="103">
        <f>P27</f>
        <v>54000000</v>
      </c>
    </row>
    <row r="28" spans="1:22" ht="20.100000000000001" customHeight="1" x14ac:dyDescent="0.25">
      <c r="A28" s="30">
        <v>18</v>
      </c>
      <c r="B28" s="31" t="s">
        <v>28</v>
      </c>
      <c r="C28" s="38">
        <f>ROUNDDOWN(IF(C26&lt;=C27,0,IF(C26&gt;C27,C26-C27)),-3)</f>
        <v>0</v>
      </c>
      <c r="D28" s="38">
        <f t="shared" ref="D28:Q28" si="7">ROUNDDOWN(IF(D26&lt;=D27,0,IF(D26&gt;D27,D26-D27)),-3)</f>
        <v>0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0</v>
      </c>
      <c r="I28" s="38">
        <f t="shared" si="7"/>
        <v>0</v>
      </c>
      <c r="J28" s="38">
        <f t="shared" si="7"/>
        <v>0</v>
      </c>
      <c r="K28" s="38">
        <f t="shared" si="7"/>
        <v>0</v>
      </c>
      <c r="L28" s="38">
        <f t="shared" si="7"/>
        <v>0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45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45">
        <f t="shared" si="8"/>
        <v>0</v>
      </c>
      <c r="E29" s="45">
        <f t="shared" si="8"/>
        <v>0</v>
      </c>
      <c r="F29" s="45">
        <f t="shared" si="8"/>
        <v>0</v>
      </c>
      <c r="G29" s="45">
        <f t="shared" si="8"/>
        <v>0</v>
      </c>
      <c r="H29" s="45">
        <f t="shared" si="8"/>
        <v>0</v>
      </c>
      <c r="I29" s="45">
        <f t="shared" si="8"/>
        <v>0</v>
      </c>
      <c r="J29" s="45">
        <f t="shared" si="8"/>
        <v>0</v>
      </c>
      <c r="K29" s="45">
        <f t="shared" si="8"/>
        <v>0</v>
      </c>
      <c r="L29" s="45">
        <f t="shared" si="8"/>
        <v>0</v>
      </c>
      <c r="M29" s="45">
        <f t="shared" si="8"/>
        <v>0</v>
      </c>
      <c r="N29" s="45">
        <f t="shared" si="8"/>
        <v>0</v>
      </c>
      <c r="O29" s="45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33"/>
      <c r="D30" s="33"/>
      <c r="E30" s="33"/>
      <c r="F30" s="33"/>
      <c r="G30" s="33"/>
      <c r="H30" s="33"/>
      <c r="I30" s="33"/>
      <c r="J30" s="33"/>
      <c r="K30" s="26"/>
      <c r="L30" s="26"/>
      <c r="M30" s="26"/>
      <c r="N30" s="26"/>
      <c r="O30" s="46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53">
        <f>C29-C30</f>
        <v>0</v>
      </c>
      <c r="D31" s="53">
        <f t="shared" ref="D31:N31" si="9">D29-D30</f>
        <v>0</v>
      </c>
      <c r="E31" s="53">
        <f t="shared" si="9"/>
        <v>0</v>
      </c>
      <c r="F31" s="53">
        <f t="shared" si="9"/>
        <v>0</v>
      </c>
      <c r="G31" s="53">
        <f t="shared" si="9"/>
        <v>0</v>
      </c>
      <c r="H31" s="53">
        <f t="shared" si="9"/>
        <v>0</v>
      </c>
      <c r="I31" s="53">
        <f t="shared" si="9"/>
        <v>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53">
        <f t="shared" si="9"/>
        <v>0</v>
      </c>
      <c r="N31" s="53">
        <f t="shared" si="9"/>
        <v>0</v>
      </c>
      <c r="O31" s="56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f>P31/12</f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 t="s">
        <v>82</v>
      </c>
      <c r="P33" s="129">
        <f>P31-Q31</f>
        <v>0</v>
      </c>
      <c r="Q33" s="110">
        <v>0</v>
      </c>
    </row>
    <row r="34" spans="1:17" x14ac:dyDescent="0.25">
      <c r="A34" s="47"/>
      <c r="B34" s="31" t="s">
        <v>33</v>
      </c>
      <c r="C34" s="33"/>
      <c r="D34" s="33"/>
      <c r="E34" s="33"/>
      <c r="F34" s="33"/>
      <c r="G34" s="33"/>
      <c r="H34" s="33"/>
      <c r="I34" s="33"/>
      <c r="J34" s="33"/>
      <c r="K34" s="26"/>
      <c r="L34" s="26"/>
      <c r="M34" s="26"/>
      <c r="N34" s="15"/>
      <c r="O34" s="48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33"/>
      <c r="D35" s="33"/>
      <c r="E35" s="33"/>
      <c r="F35" s="33"/>
      <c r="G35" s="33"/>
      <c r="H35" s="33"/>
      <c r="I35" s="33"/>
      <c r="J35" s="33"/>
      <c r="K35" s="26"/>
      <c r="L35" s="26"/>
      <c r="M35" s="26"/>
      <c r="N35" s="15"/>
      <c r="O35" s="48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33"/>
      <c r="D36" s="33"/>
      <c r="E36" s="33"/>
      <c r="F36" s="33"/>
      <c r="G36" s="33"/>
      <c r="H36" s="33"/>
      <c r="I36" s="33"/>
      <c r="J36" s="33"/>
      <c r="K36" s="26"/>
      <c r="L36" s="26"/>
      <c r="M36" s="26"/>
      <c r="N36" s="15"/>
      <c r="O36" s="48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50">
        <f t="shared" ref="C37:J37" si="10">C17-C21-C32</f>
        <v>0</v>
      </c>
      <c r="D37" s="50">
        <f t="shared" si="10"/>
        <v>0</v>
      </c>
      <c r="E37" s="50">
        <f t="shared" si="10"/>
        <v>0</v>
      </c>
      <c r="F37" s="50">
        <f t="shared" si="10"/>
        <v>0</v>
      </c>
      <c r="G37" s="50">
        <f t="shared" si="10"/>
        <v>0</v>
      </c>
      <c r="H37" s="50">
        <f t="shared" si="10"/>
        <v>0</v>
      </c>
      <c r="I37" s="50">
        <f t="shared" si="10"/>
        <v>0</v>
      </c>
      <c r="J37" s="50">
        <f t="shared" si="10"/>
        <v>0</v>
      </c>
      <c r="K37" s="50">
        <f>K17-K21-K32</f>
        <v>0</v>
      </c>
      <c r="L37" s="50">
        <f>L17-L21-L32</f>
        <v>0</v>
      </c>
      <c r="M37" s="50">
        <f>M17-M21-M32</f>
        <v>0</v>
      </c>
      <c r="N37" s="50">
        <f>N17-N21-N32</f>
        <v>0</v>
      </c>
      <c r="O37" s="50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P38" s="114"/>
      <c r="Q38" s="114"/>
    </row>
    <row r="39" spans="1:17" s="62" customFormat="1" x14ac:dyDescent="0.25">
      <c r="B39" s="63" t="s">
        <v>65</v>
      </c>
      <c r="C39" s="63" t="s">
        <v>66</v>
      </c>
      <c r="P39" s="118"/>
      <c r="Q39" s="118"/>
    </row>
    <row r="40" spans="1:17" x14ac:dyDescent="0.25">
      <c r="B40" s="8" t="s">
        <v>67</v>
      </c>
      <c r="C40" s="119">
        <v>54000000</v>
      </c>
    </row>
    <row r="41" spans="1:17" x14ac:dyDescent="0.25">
      <c r="B41" s="8" t="s">
        <v>93</v>
      </c>
      <c r="C41" s="119">
        <v>58500000</v>
      </c>
    </row>
    <row r="42" spans="1:17" x14ac:dyDescent="0.25">
      <c r="B42" s="8" t="s">
        <v>94</v>
      </c>
      <c r="C42" s="119">
        <v>63000000</v>
      </c>
    </row>
    <row r="43" spans="1:17" x14ac:dyDescent="0.25">
      <c r="B43" s="8" t="s">
        <v>95</v>
      </c>
      <c r="C43" s="119">
        <v>67500000</v>
      </c>
    </row>
    <row r="44" spans="1:17" x14ac:dyDescent="0.25">
      <c r="B44" s="8" t="s">
        <v>68</v>
      </c>
      <c r="C44" s="119">
        <v>58500000</v>
      </c>
    </row>
    <row r="45" spans="1:17" x14ac:dyDescent="0.25">
      <c r="B45" s="8" t="s">
        <v>69</v>
      </c>
      <c r="C45" s="119">
        <v>63000000</v>
      </c>
    </row>
    <row r="46" spans="1:17" x14ac:dyDescent="0.25">
      <c r="B46" s="8" t="s">
        <v>50</v>
      </c>
      <c r="C46" s="119">
        <v>67500000</v>
      </c>
    </row>
    <row r="47" spans="1:17" x14ac:dyDescent="0.25">
      <c r="B47" s="8" t="s">
        <v>64</v>
      </c>
      <c r="C47" s="119">
        <v>72000000</v>
      </c>
    </row>
    <row r="48" spans="1:17" x14ac:dyDescent="0.25">
      <c r="B48" s="8" t="s">
        <v>96</v>
      </c>
      <c r="C48" s="119">
        <v>112500000</v>
      </c>
    </row>
    <row r="49" spans="2:17" x14ac:dyDescent="0.25">
      <c r="B49" s="8" t="s">
        <v>97</v>
      </c>
      <c r="C49" s="119">
        <v>117000000</v>
      </c>
    </row>
    <row r="50" spans="2:17" x14ac:dyDescent="0.25">
      <c r="B50" s="8" t="s">
        <v>98</v>
      </c>
      <c r="C50" s="119">
        <v>121500000</v>
      </c>
    </row>
    <row r="51" spans="2:17" x14ac:dyDescent="0.25">
      <c r="B51" s="8" t="s">
        <v>99</v>
      </c>
      <c r="C51" s="119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9:N9 D10:N14 P9:Q14" xr:uid="{00000000-0002-0000-5800-000000000000}"/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Sheet90"/>
  <dimension ref="A1:V59"/>
  <sheetViews>
    <sheetView zoomScale="54" workbookViewId="0">
      <selection activeCell="P12" sqref="P12:Q12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ht="15.75" thickBot="1" x14ac:dyDescent="0.3">
      <c r="A1" s="6" t="s">
        <v>52</v>
      </c>
      <c r="B1" s="142" t="s">
        <v>598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2750000</v>
      </c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2750000</v>
      </c>
      <c r="P13" s="123">
        <f t="shared" ref="P13:P18" si="1">Q13</f>
        <v>0</v>
      </c>
      <c r="Q13" s="123">
        <f t="shared" ref="Q13:Q18" si="2">G13*12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si="2"/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2750000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8">
        <f>SUM(O13:O18)</f>
        <v>2750000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2750000</v>
      </c>
      <c r="D21" s="259">
        <f t="shared" ref="D21:N21" si="3">D19+D20</f>
        <v>0</v>
      </c>
      <c r="E21" s="259">
        <f t="shared" si="3"/>
        <v>0</v>
      </c>
      <c r="F21" s="259">
        <f t="shared" si="3"/>
        <v>0</v>
      </c>
      <c r="G21" s="259">
        <f>G19+G20</f>
        <v>0</v>
      </c>
      <c r="H21" s="259">
        <f t="shared" si="3"/>
        <v>0</v>
      </c>
      <c r="I21" s="259">
        <f t="shared" si="3"/>
        <v>0</v>
      </c>
      <c r="J21" s="259">
        <f t="shared" si="3"/>
        <v>0</v>
      </c>
      <c r="K21" s="259">
        <f t="shared" si="3"/>
        <v>0</v>
      </c>
      <c r="L21" s="259">
        <f t="shared" si="3"/>
        <v>0</v>
      </c>
      <c r="M21" s="259">
        <f t="shared" si="3"/>
        <v>0</v>
      </c>
      <c r="N21" s="259">
        <f t="shared" si="3"/>
        <v>0</v>
      </c>
      <c r="O21" s="259">
        <f>O19+O20</f>
        <v>2750000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137500</v>
      </c>
      <c r="D23" s="257">
        <f t="shared" ref="D23:O23" si="4">IF(D21*5%&lt;500000,D21*5%,500000)</f>
        <v>0</v>
      </c>
      <c r="E23" s="257">
        <f t="shared" si="4"/>
        <v>0</v>
      </c>
      <c r="F23" s="257">
        <f t="shared" si="4"/>
        <v>0</v>
      </c>
      <c r="G23" s="257">
        <f>IF(G21*5%&lt;500000,G21*5%,500000)</f>
        <v>0</v>
      </c>
      <c r="H23" s="257">
        <f t="shared" si="4"/>
        <v>0</v>
      </c>
      <c r="I23" s="257">
        <f t="shared" si="4"/>
        <v>0</v>
      </c>
      <c r="J23" s="257">
        <f t="shared" si="4"/>
        <v>0</v>
      </c>
      <c r="K23" s="257">
        <f t="shared" si="4"/>
        <v>0</v>
      </c>
      <c r="L23" s="257">
        <f t="shared" si="4"/>
        <v>0</v>
      </c>
      <c r="M23" s="257">
        <f t="shared" si="4"/>
        <v>0</v>
      </c>
      <c r="N23" s="257">
        <f t="shared" si="4"/>
        <v>0</v>
      </c>
      <c r="O23" s="257">
        <f>IF(O21*5%&lt;6000000,O21*5%,6000000)</f>
        <v>137500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5">SUM(C23:C25)</f>
        <v>137500</v>
      </c>
      <c r="D26" s="257">
        <f t="shared" si="5"/>
        <v>0</v>
      </c>
      <c r="E26" s="257">
        <f t="shared" si="5"/>
        <v>0</v>
      </c>
      <c r="F26" s="257">
        <f t="shared" si="5"/>
        <v>0</v>
      </c>
      <c r="G26" s="257">
        <f>SUM(G23:G25)</f>
        <v>0</v>
      </c>
      <c r="H26" s="257">
        <f t="shared" si="5"/>
        <v>0</v>
      </c>
      <c r="I26" s="257">
        <f t="shared" si="5"/>
        <v>0</v>
      </c>
      <c r="J26" s="257">
        <f t="shared" si="5"/>
        <v>0</v>
      </c>
      <c r="K26" s="257">
        <f t="shared" si="5"/>
        <v>0</v>
      </c>
      <c r="L26" s="257">
        <f t="shared" si="5"/>
        <v>0</v>
      </c>
      <c r="M26" s="257">
        <f t="shared" si="5"/>
        <v>0</v>
      </c>
      <c r="N26" s="257">
        <f t="shared" si="5"/>
        <v>0</v>
      </c>
      <c r="O26" s="263">
        <f>SUM(O22:O25)</f>
        <v>137500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2612500</v>
      </c>
      <c r="D28" s="255">
        <f t="shared" ref="D28:O28" si="6">D21-D26</f>
        <v>0</v>
      </c>
      <c r="E28" s="255">
        <f t="shared" si="6"/>
        <v>0</v>
      </c>
      <c r="F28" s="255">
        <f t="shared" si="6"/>
        <v>0</v>
      </c>
      <c r="G28" s="255">
        <f>G21-G26</f>
        <v>0</v>
      </c>
      <c r="H28" s="255">
        <f t="shared" si="6"/>
        <v>0</v>
      </c>
      <c r="I28" s="255">
        <f t="shared" si="6"/>
        <v>0</v>
      </c>
      <c r="J28" s="255">
        <f t="shared" si="6"/>
        <v>0</v>
      </c>
      <c r="K28" s="255">
        <f t="shared" si="6"/>
        <v>0</v>
      </c>
      <c r="L28" s="255">
        <f t="shared" si="6"/>
        <v>0</v>
      </c>
      <c r="M28" s="255">
        <f t="shared" si="6"/>
        <v>0</v>
      </c>
      <c r="N28" s="255">
        <f t="shared" si="6"/>
        <v>0</v>
      </c>
      <c r="O28" s="255">
        <f t="shared" si="6"/>
        <v>2612500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31350000</v>
      </c>
      <c r="D30" s="253">
        <f>SUM(C28:D28)*D10/D11</f>
        <v>15675000</v>
      </c>
      <c r="E30" s="253">
        <f>SUM(C28:E28)*E10/E11</f>
        <v>10450000</v>
      </c>
      <c r="F30" s="253">
        <f>SUM(C28:F28)*F10/F11</f>
        <v>7837500</v>
      </c>
      <c r="G30" s="253">
        <f>SUM(C28:G28)*G10/G11</f>
        <v>6270000</v>
      </c>
      <c r="H30" s="253">
        <f>SUM(C28:H28)*H10/H11</f>
        <v>5225000</v>
      </c>
      <c r="I30" s="253">
        <f>SUM(C28:I28)*I10/I11</f>
        <v>4478571.4285714282</v>
      </c>
      <c r="J30" s="253">
        <f>SUM(C28:J28)*J10/J11</f>
        <v>3918750</v>
      </c>
      <c r="K30" s="253">
        <f>SUM(C28:K28)*K10/K11</f>
        <v>3483333.3333333335</v>
      </c>
      <c r="L30" s="253">
        <f>SUM(C28:L28)*L10/L11</f>
        <v>3135000</v>
      </c>
      <c r="M30" s="253">
        <f>SUM(C28:M28)*M10/M11</f>
        <v>2850000</v>
      </c>
      <c r="N30" s="253">
        <f>SUM(C28:N28)*N10/N11</f>
        <v>2612500</v>
      </c>
      <c r="O30" s="254">
        <f>O28</f>
        <v>2612500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7">IF(C30&gt;0,VLOOKUP(C9,$B$47:$C$59,2,FALSE),0)</f>
        <v>54000000</v>
      </c>
      <c r="D31" s="255">
        <f t="shared" si="7"/>
        <v>54000000</v>
      </c>
      <c r="E31" s="255">
        <f t="shared" si="7"/>
        <v>54000000</v>
      </c>
      <c r="F31" s="255">
        <f t="shared" si="7"/>
        <v>54000000</v>
      </c>
      <c r="G31" s="255">
        <f>IF(G30&gt;0,VLOOKUP(G9,$B$47:$C$59,2,FALSE),0)</f>
        <v>54000000</v>
      </c>
      <c r="H31" s="255">
        <f t="shared" si="7"/>
        <v>54000000</v>
      </c>
      <c r="I31" s="255">
        <f t="shared" si="7"/>
        <v>54000000</v>
      </c>
      <c r="J31" s="255">
        <f t="shared" si="7"/>
        <v>54000000</v>
      </c>
      <c r="K31" s="255">
        <f t="shared" si="7"/>
        <v>54000000</v>
      </c>
      <c r="L31" s="255">
        <f t="shared" si="7"/>
        <v>54000000</v>
      </c>
      <c r="M31" s="255">
        <f t="shared" si="7"/>
        <v>54000000</v>
      </c>
      <c r="N31" s="255">
        <f t="shared" si="7"/>
        <v>54000000</v>
      </c>
      <c r="O31" s="255">
        <f t="shared" si="7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8">ROUNDDOWN(IF(D30&lt;=D31,0,IF(D30&gt;D31,D30-D31)),-3)</f>
        <v>0</v>
      </c>
      <c r="E32" s="256">
        <f t="shared" si="8"/>
        <v>0</v>
      </c>
      <c r="F32" s="256">
        <f t="shared" si="8"/>
        <v>0</v>
      </c>
      <c r="G32" s="256">
        <f t="shared" si="8"/>
        <v>0</v>
      </c>
      <c r="H32" s="256">
        <f t="shared" si="8"/>
        <v>0</v>
      </c>
      <c r="I32" s="256">
        <f>ROUNDDOWN(IF(I30&lt;=I31,0,IF(I30&gt;I31,I30-I31)),-3)</f>
        <v>0</v>
      </c>
      <c r="J32" s="256">
        <f t="shared" si="8"/>
        <v>0</v>
      </c>
      <c r="K32" s="256">
        <f t="shared" si="8"/>
        <v>0</v>
      </c>
      <c r="L32" s="256">
        <f t="shared" si="8"/>
        <v>0</v>
      </c>
      <c r="M32" s="256">
        <f t="shared" si="8"/>
        <v>0</v>
      </c>
      <c r="N32" s="256">
        <f t="shared" si="8"/>
        <v>0</v>
      </c>
      <c r="O32" s="256">
        <f t="shared" si="8"/>
        <v>0</v>
      </c>
      <c r="P32" s="103">
        <f t="shared" ref="D32:Q32" si="9">ROUNDDOWN(IF(P30&lt;=P31,0,IF(P30&gt;P31,P30-P31)),-3)</f>
        <v>0</v>
      </c>
      <c r="Q32" s="103">
        <f t="shared" si="9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0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0"/>
        <v>0</v>
      </c>
      <c r="E33" s="257">
        <f t="shared" si="10"/>
        <v>0</v>
      </c>
      <c r="F33" s="257">
        <f t="shared" si="10"/>
        <v>0</v>
      </c>
      <c r="G33" s="257">
        <f t="shared" si="10"/>
        <v>0</v>
      </c>
      <c r="H33" s="257">
        <f t="shared" si="10"/>
        <v>0</v>
      </c>
      <c r="I33" s="257">
        <f t="shared" si="10"/>
        <v>0</v>
      </c>
      <c r="J33" s="257">
        <f t="shared" si="10"/>
        <v>0</v>
      </c>
      <c r="K33" s="257">
        <f t="shared" si="10"/>
        <v>0</v>
      </c>
      <c r="L33" s="257">
        <f t="shared" si="10"/>
        <v>0</v>
      </c>
      <c r="M33" s="257">
        <f t="shared" si="10"/>
        <v>0</v>
      </c>
      <c r="N33" s="257">
        <f t="shared" si="10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103">
        <f>IF(P32&lt;0,0,IF(P32&lt;50000000,P32*5%,IF(P32&lt;250000000,(P32-50000000)*15%+2500000,IF(P32&lt;500000000,(P32-250000000)*25%+32500000,IF(P32&gt;500000000,(P32-500000000)*30%+95000000)))))</f>
        <v>0</v>
      </c>
      <c r="Q33" s="103">
        <f>IF(Q32&lt;0,0,IF(Q32&lt;50000000,Q32*5%,IF(Q32&lt;250000000,(Q32-50000000)*15%+2500000,IF(Q32&lt;500000000,(Q32-250000000)*25%+32500000,IF(Q32&gt;500000000,(Q32-500000000)*30%+95000000)))))</f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1">D33-D34</f>
        <v>0</v>
      </c>
      <c r="E35" s="255">
        <f t="shared" si="11"/>
        <v>0</v>
      </c>
      <c r="F35" s="255">
        <f t="shared" si="11"/>
        <v>0</v>
      </c>
      <c r="G35" s="255">
        <f t="shared" si="11"/>
        <v>0</v>
      </c>
      <c r="H35" s="255">
        <f t="shared" si="11"/>
        <v>0</v>
      </c>
      <c r="I35" s="255">
        <f t="shared" si="11"/>
        <v>0</v>
      </c>
      <c r="J35" s="255">
        <f t="shared" si="11"/>
        <v>0</v>
      </c>
      <c r="K35" s="255">
        <f t="shared" si="11"/>
        <v>0</v>
      </c>
      <c r="L35" s="255">
        <f t="shared" si="11"/>
        <v>0</v>
      </c>
      <c r="M35" s="255">
        <f t="shared" si="11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2">C21-C25-C36</f>
        <v>2750000</v>
      </c>
      <c r="D41" s="50">
        <f t="shared" si="12"/>
        <v>0</v>
      </c>
      <c r="E41" s="50">
        <f t="shared" si="12"/>
        <v>0</v>
      </c>
      <c r="F41" s="50">
        <f t="shared" si="12"/>
        <v>0</v>
      </c>
      <c r="G41" s="50">
        <f t="shared" si="12"/>
        <v>0</v>
      </c>
      <c r="H41" s="50">
        <f t="shared" si="12"/>
        <v>0</v>
      </c>
      <c r="I41" s="50">
        <f t="shared" si="12"/>
        <v>0</v>
      </c>
      <c r="J41" s="50">
        <f t="shared" si="12"/>
        <v>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0</v>
      </c>
      <c r="O41" s="50">
        <f>O21-O25-O36-O38</f>
        <v>2750000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13:N13 D14:N18 P13:Q18" xr:uid="{00000000-0002-0000-5900-000000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7"/>
  <dimension ref="A1:V51"/>
  <sheetViews>
    <sheetView topLeftCell="A8" zoomScaleNormal="100" workbookViewId="0">
      <pane xSplit="2" ySplit="1" topLeftCell="C9" activePane="bottomRight" state="frozen"/>
      <selection activeCell="J32" sqref="J32"/>
      <selection pane="topRight" activeCell="J32" sqref="J32"/>
      <selection pane="bottomLeft" activeCell="J32" sqref="J32"/>
      <selection pane="bottomRight" activeCell="D10" sqref="D10"/>
    </sheetView>
  </sheetViews>
  <sheetFormatPr defaultColWidth="9.140625" defaultRowHeight="15" x14ac:dyDescent="0.25"/>
  <cols>
    <col min="1" max="1" width="8.5703125" style="3" bestFit="1" customWidth="1"/>
    <col min="2" max="2" width="62.42578125" style="3" customWidth="1"/>
    <col min="3" max="5" width="14" style="93" bestFit="1" customWidth="1"/>
    <col min="6" max="6" width="14.28515625" style="93" customWidth="1"/>
    <col min="7" max="7" width="16.42578125" style="93" customWidth="1"/>
    <col min="8" max="8" width="14.140625" style="93" customWidth="1"/>
    <col min="9" max="13" width="13.42578125" style="93" bestFit="1" customWidth="1"/>
    <col min="14" max="14" width="14.7109375" style="93" customWidth="1"/>
    <col min="15" max="15" width="14" style="9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4" t="s">
        <v>582</v>
      </c>
      <c r="C1" s="18"/>
      <c r="D1" s="18"/>
      <c r="E1" s="18"/>
      <c r="F1" s="18"/>
      <c r="G1" s="18"/>
      <c r="H1" s="18"/>
      <c r="I1" s="18"/>
      <c r="J1" s="18"/>
      <c r="K1" s="18"/>
      <c r="O1" s="18"/>
      <c r="P1" s="94"/>
      <c r="Q1" s="94"/>
    </row>
    <row r="2" spans="1:17" x14ac:dyDescent="0.25">
      <c r="A2" s="6" t="s">
        <v>38</v>
      </c>
      <c r="B2" s="4"/>
      <c r="C2" s="18"/>
      <c r="D2" s="18"/>
      <c r="E2" s="18"/>
      <c r="F2" s="18"/>
      <c r="G2" s="18"/>
      <c r="H2" s="18"/>
      <c r="I2" s="18"/>
      <c r="J2" s="18"/>
      <c r="K2" s="18"/>
      <c r="O2" s="18"/>
      <c r="P2" s="94"/>
      <c r="Q2" s="94"/>
    </row>
    <row r="3" spans="1:17" x14ac:dyDescent="0.25">
      <c r="A3" s="6" t="s">
        <v>53</v>
      </c>
      <c r="B3" s="133" t="s">
        <v>69</v>
      </c>
      <c r="C3" s="18"/>
      <c r="D3" s="18"/>
      <c r="E3" s="18"/>
      <c r="F3" s="18"/>
      <c r="G3" s="18"/>
      <c r="H3" s="18"/>
      <c r="I3" s="18"/>
      <c r="J3" s="18"/>
      <c r="K3" s="18"/>
      <c r="O3" s="18"/>
      <c r="P3" s="94"/>
      <c r="Q3" s="94"/>
    </row>
    <row r="4" spans="1:17" x14ac:dyDescent="0.25">
      <c r="A4" s="5" t="s">
        <v>36</v>
      </c>
      <c r="B4" s="17"/>
      <c r="C4" s="18"/>
      <c r="D4" s="18"/>
      <c r="E4" s="18"/>
      <c r="F4" s="18"/>
      <c r="G4" s="18"/>
      <c r="H4" s="18"/>
      <c r="I4" s="18"/>
      <c r="J4" s="18"/>
      <c r="K4" s="18"/>
      <c r="O4" s="18"/>
      <c r="P4" s="94"/>
      <c r="Q4" s="94"/>
    </row>
    <row r="5" spans="1:17" x14ac:dyDescent="0.25">
      <c r="A5" s="6" t="s">
        <v>77</v>
      </c>
      <c r="B5" s="4"/>
      <c r="C5" s="18"/>
      <c r="D5" s="18"/>
      <c r="E5" s="18"/>
      <c r="F5" s="18"/>
      <c r="G5" s="18"/>
      <c r="H5" s="18"/>
      <c r="I5" s="18"/>
      <c r="J5" s="18"/>
      <c r="K5" s="18"/>
      <c r="O5" s="18"/>
      <c r="P5" s="94"/>
      <c r="Q5" s="94"/>
    </row>
    <row r="6" spans="1:17" x14ac:dyDescent="0.25">
      <c r="A6" s="6"/>
      <c r="B6" s="4"/>
      <c r="C6" s="18"/>
      <c r="D6" s="18"/>
      <c r="E6" s="18"/>
      <c r="F6" s="18"/>
      <c r="G6" s="18"/>
      <c r="H6" s="18"/>
      <c r="I6" s="18"/>
      <c r="J6" s="18"/>
      <c r="K6" s="18"/>
      <c r="O6" s="18"/>
      <c r="P6" s="94"/>
      <c r="Q6" s="94"/>
    </row>
    <row r="7" spans="1:17" x14ac:dyDescent="0.25">
      <c r="A7" s="23"/>
      <c r="B7" s="24"/>
      <c r="C7" s="19"/>
      <c r="D7" s="19"/>
      <c r="E7" s="19"/>
      <c r="F7" s="19"/>
      <c r="G7" s="19"/>
      <c r="H7" s="19"/>
      <c r="I7" s="19"/>
      <c r="J7" s="19"/>
      <c r="K7" s="19"/>
      <c r="L7" s="95"/>
      <c r="M7" s="96"/>
      <c r="N7" s="96"/>
      <c r="O7" s="19"/>
      <c r="P7" s="19"/>
      <c r="Q7" s="19"/>
    </row>
    <row r="8" spans="1:17" ht="21.95" customHeight="1" x14ac:dyDescent="0.25">
      <c r="A8" s="27" t="s">
        <v>0</v>
      </c>
      <c r="B8" s="28" t="s">
        <v>92</v>
      </c>
      <c r="C8" s="97" t="s">
        <v>39</v>
      </c>
      <c r="D8" s="97" t="s">
        <v>40</v>
      </c>
      <c r="E8" s="97" t="s">
        <v>41</v>
      </c>
      <c r="F8" s="97" t="s">
        <v>2</v>
      </c>
      <c r="G8" s="97" t="s">
        <v>42</v>
      </c>
      <c r="H8" s="97" t="s">
        <v>43</v>
      </c>
      <c r="I8" s="97" t="s">
        <v>44</v>
      </c>
      <c r="J8" s="97" t="s">
        <v>45</v>
      </c>
      <c r="K8" s="97" t="s">
        <v>46</v>
      </c>
      <c r="L8" s="97" t="s">
        <v>47</v>
      </c>
      <c r="M8" s="97" t="s">
        <v>48</v>
      </c>
      <c r="N8" s="97" t="s">
        <v>49</v>
      </c>
      <c r="O8" s="97" t="s">
        <v>427</v>
      </c>
      <c r="P8" s="122" t="s">
        <v>80</v>
      </c>
      <c r="Q8" s="122" t="s">
        <v>3</v>
      </c>
    </row>
    <row r="9" spans="1:17" ht="20.100000000000001" customHeight="1" x14ac:dyDescent="0.25">
      <c r="A9" s="30">
        <v>1</v>
      </c>
      <c r="B9" s="31" t="s">
        <v>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>
        <f>SUM(C9:N9)</f>
        <v>0</v>
      </c>
      <c r="P9" s="123">
        <f t="shared" ref="P9:P14" si="0">Q9</f>
        <v>0</v>
      </c>
      <c r="Q9" s="123">
        <f t="shared" ref="Q9:Q14" si="1">G9*12</f>
        <v>0</v>
      </c>
    </row>
    <row r="10" spans="1:17" ht="20.100000000000001" customHeight="1" x14ac:dyDescent="0.25">
      <c r="A10" s="30">
        <v>2</v>
      </c>
      <c r="B10" s="31" t="s">
        <v>10</v>
      </c>
      <c r="C10" s="99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123">
        <f t="shared" si="0"/>
        <v>0</v>
      </c>
      <c r="Q10" s="123">
        <f t="shared" si="1"/>
        <v>0</v>
      </c>
    </row>
    <row r="11" spans="1:17" ht="20.100000000000001" customHeight="1" x14ac:dyDescent="0.25">
      <c r="A11" s="30">
        <v>3</v>
      </c>
      <c r="B11" s="31" t="s">
        <v>11</v>
      </c>
      <c r="C11" s="99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>
        <f>SUM(C11:N11)</f>
        <v>0</v>
      </c>
      <c r="P11" s="123">
        <f t="shared" si="0"/>
        <v>0</v>
      </c>
      <c r="Q11" s="123">
        <f t="shared" si="1"/>
        <v>0</v>
      </c>
    </row>
    <row r="12" spans="1:17" ht="20.100000000000001" customHeight="1" x14ac:dyDescent="0.25">
      <c r="A12" s="30">
        <v>4</v>
      </c>
      <c r="B12" s="31" t="s">
        <v>12</v>
      </c>
      <c r="C12" s="99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123">
        <f t="shared" si="0"/>
        <v>0</v>
      </c>
      <c r="Q12" s="123">
        <f t="shared" si="1"/>
        <v>0</v>
      </c>
    </row>
    <row r="13" spans="1:17" ht="20.100000000000001" customHeight="1" x14ac:dyDescent="0.25">
      <c r="A13" s="30">
        <v>5</v>
      </c>
      <c r="B13" s="31" t="s">
        <v>13</v>
      </c>
      <c r="C13" s="99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>
        <f>SUM(C13:N13)</f>
        <v>0</v>
      </c>
      <c r="P13" s="123">
        <f t="shared" si="0"/>
        <v>0</v>
      </c>
      <c r="Q13" s="123">
        <f t="shared" si="1"/>
        <v>0</v>
      </c>
    </row>
    <row r="14" spans="1:17" s="2" customFormat="1" ht="30" x14ac:dyDescent="0.25">
      <c r="A14" s="34">
        <v>6</v>
      </c>
      <c r="B14" s="35" t="s">
        <v>14</v>
      </c>
      <c r="C14" s="99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124"/>
      <c r="P14" s="123">
        <f t="shared" si="0"/>
        <v>0</v>
      </c>
      <c r="Q14" s="123">
        <f t="shared" si="1"/>
        <v>0</v>
      </c>
    </row>
    <row r="15" spans="1:17" ht="20.100000000000001" customHeight="1" x14ac:dyDescent="0.25">
      <c r="A15" s="30">
        <v>7</v>
      </c>
      <c r="B15" s="31" t="s">
        <v>15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1">
        <f>SUM(O9:O14)</f>
        <v>0</v>
      </c>
      <c r="P15" s="103">
        <f>SUM(P9:P14)</f>
        <v>0</v>
      </c>
      <c r="Q15" s="103">
        <f>SUM(Q9:Q14)</f>
        <v>0</v>
      </c>
    </row>
    <row r="16" spans="1:17" ht="20.100000000000001" customHeight="1" x14ac:dyDescent="0.25">
      <c r="A16" s="30">
        <v>8</v>
      </c>
      <c r="B16" s="31" t="s">
        <v>16</v>
      </c>
      <c r="C16" s="99"/>
      <c r="D16" s="99"/>
      <c r="E16" s="99"/>
      <c r="F16" s="99"/>
      <c r="G16" s="99"/>
      <c r="H16" s="99"/>
      <c r="I16" s="99"/>
      <c r="J16" s="99"/>
      <c r="K16" s="102"/>
      <c r="L16" s="102"/>
      <c r="M16" s="102"/>
      <c r="N16" s="102"/>
      <c r="O16" s="98"/>
      <c r="P16" s="110">
        <v>0</v>
      </c>
      <c r="Q16" s="110"/>
    </row>
    <row r="17" spans="1:22" s="55" customFormat="1" ht="20.100000000000001" customHeight="1" x14ac:dyDescent="0.25">
      <c r="A17" s="51">
        <v>9</v>
      </c>
      <c r="B17" s="52" t="s">
        <v>17</v>
      </c>
      <c r="C17" s="103">
        <f t="shared" ref="C17:N17" si="2">C15+C16</f>
        <v>0</v>
      </c>
      <c r="D17" s="103">
        <f t="shared" si="2"/>
        <v>0</v>
      </c>
      <c r="E17" s="103">
        <f t="shared" si="2"/>
        <v>0</v>
      </c>
      <c r="F17" s="103">
        <f t="shared" si="2"/>
        <v>0</v>
      </c>
      <c r="G17" s="103">
        <f t="shared" si="2"/>
        <v>0</v>
      </c>
      <c r="H17" s="103">
        <f t="shared" si="2"/>
        <v>0</v>
      </c>
      <c r="I17" s="103">
        <f t="shared" si="2"/>
        <v>0</v>
      </c>
      <c r="J17" s="103">
        <f t="shared" si="2"/>
        <v>0</v>
      </c>
      <c r="K17" s="103">
        <f t="shared" si="2"/>
        <v>0</v>
      </c>
      <c r="L17" s="103">
        <f>L15+L16</f>
        <v>0</v>
      </c>
      <c r="M17" s="103">
        <f t="shared" si="2"/>
        <v>0</v>
      </c>
      <c r="N17" s="103">
        <f t="shared" si="2"/>
        <v>0</v>
      </c>
      <c r="O17" s="104">
        <f>O15+O16</f>
        <v>0</v>
      </c>
      <c r="P17" s="103">
        <f>P15+P16</f>
        <v>0</v>
      </c>
      <c r="Q17" s="103">
        <f>Q15+Q16</f>
        <v>0</v>
      </c>
    </row>
    <row r="18" spans="1:22" ht="20.100000000000001" customHeight="1" x14ac:dyDescent="0.25">
      <c r="A18" s="30"/>
      <c r="B18" s="39" t="s">
        <v>18</v>
      </c>
      <c r="C18" s="99"/>
      <c r="D18" s="99"/>
      <c r="E18" s="99"/>
      <c r="F18" s="99"/>
      <c r="G18" s="99"/>
      <c r="H18" s="99"/>
      <c r="I18" s="99"/>
      <c r="J18" s="99"/>
      <c r="K18" s="102"/>
      <c r="L18" s="102"/>
      <c r="M18" s="102"/>
      <c r="N18" s="102"/>
      <c r="O18" s="98"/>
      <c r="P18" s="110"/>
      <c r="Q18" s="110"/>
      <c r="R18" s="11"/>
      <c r="S18" s="11"/>
      <c r="T18" s="11"/>
      <c r="U18" s="11"/>
      <c r="V18" s="11"/>
    </row>
    <row r="19" spans="1:22" ht="20.100000000000001" customHeight="1" x14ac:dyDescent="0.25">
      <c r="A19" s="30">
        <v>10</v>
      </c>
      <c r="B19" s="31" t="s">
        <v>19</v>
      </c>
      <c r="C19" s="100">
        <f>IF(C17*5%&lt;500000,C17*5%,500000)</f>
        <v>0</v>
      </c>
      <c r="D19" s="100">
        <f t="shared" ref="D19:N19" si="3">IF(D17*5%&lt;500000,D17*5%,500000)</f>
        <v>0</v>
      </c>
      <c r="E19" s="100">
        <f t="shared" si="3"/>
        <v>0</v>
      </c>
      <c r="F19" s="100">
        <f t="shared" si="3"/>
        <v>0</v>
      </c>
      <c r="G19" s="100">
        <f t="shared" si="3"/>
        <v>0</v>
      </c>
      <c r="H19" s="100">
        <f t="shared" si="3"/>
        <v>0</v>
      </c>
      <c r="I19" s="100">
        <f t="shared" si="3"/>
        <v>0</v>
      </c>
      <c r="J19" s="100">
        <f t="shared" si="3"/>
        <v>0</v>
      </c>
      <c r="K19" s="100">
        <f t="shared" si="3"/>
        <v>0</v>
      </c>
      <c r="L19" s="100">
        <f>IF(L17*5%&lt;500000,L17*5%,500000)</f>
        <v>0</v>
      </c>
      <c r="M19" s="100">
        <f t="shared" si="3"/>
        <v>0</v>
      </c>
      <c r="N19" s="100">
        <f t="shared" si="3"/>
        <v>0</v>
      </c>
      <c r="O19" s="98">
        <f>SUM(C19:N19)</f>
        <v>0</v>
      </c>
      <c r="P19" s="110">
        <f>IF(P17*5%&lt;6000000,P17*5%,6000000)</f>
        <v>0</v>
      </c>
      <c r="Q19" s="110">
        <f>IF(Q17*5%&lt;6000000,Q17*5%,6000000)</f>
        <v>0</v>
      </c>
      <c r="R19" s="11"/>
      <c r="S19" s="11"/>
      <c r="T19" s="11"/>
      <c r="U19" s="11"/>
      <c r="V19" s="11"/>
    </row>
    <row r="20" spans="1:22" ht="20.100000000000001" customHeight="1" x14ac:dyDescent="0.25">
      <c r="A20" s="30">
        <v>11</v>
      </c>
      <c r="B20" s="31" t="s">
        <v>20</v>
      </c>
      <c r="C20" s="99"/>
      <c r="D20" s="99"/>
      <c r="E20" s="99"/>
      <c r="F20" s="99"/>
      <c r="G20" s="99"/>
      <c r="H20" s="99"/>
      <c r="I20" s="99"/>
      <c r="J20" s="99"/>
      <c r="K20" s="102"/>
      <c r="L20" s="102"/>
      <c r="M20" s="102"/>
      <c r="N20" s="102"/>
      <c r="O20" s="98"/>
      <c r="P20" s="110"/>
      <c r="Q20" s="110"/>
      <c r="R20" s="11"/>
      <c r="S20" s="11"/>
      <c r="T20" s="11"/>
      <c r="U20" s="11"/>
      <c r="V20" s="11"/>
    </row>
    <row r="21" spans="1:22" ht="20.100000000000001" customHeight="1" x14ac:dyDescent="0.25">
      <c r="A21" s="30">
        <v>12</v>
      </c>
      <c r="B21" s="31" t="s">
        <v>21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8">
        <f>SUM(C21:N21)</f>
        <v>0</v>
      </c>
      <c r="P21" s="110"/>
      <c r="Q21" s="110"/>
      <c r="R21" s="11"/>
      <c r="S21" s="11"/>
      <c r="T21" s="11"/>
      <c r="U21" s="11"/>
      <c r="V21" s="11"/>
    </row>
    <row r="22" spans="1:22" ht="20.100000000000001" customHeight="1" x14ac:dyDescent="0.25">
      <c r="A22" s="30">
        <v>13</v>
      </c>
      <c r="B22" s="31" t="s">
        <v>22</v>
      </c>
      <c r="C22" s="100">
        <f t="shared" ref="C22:N22" si="4">SUM(C19:C21)</f>
        <v>0</v>
      </c>
      <c r="D22" s="100">
        <f t="shared" si="4"/>
        <v>0</v>
      </c>
      <c r="E22" s="100">
        <f t="shared" si="4"/>
        <v>0</v>
      </c>
      <c r="F22" s="100">
        <f t="shared" si="4"/>
        <v>0</v>
      </c>
      <c r="G22" s="100">
        <f t="shared" si="4"/>
        <v>0</v>
      </c>
      <c r="H22" s="100">
        <f t="shared" si="4"/>
        <v>0</v>
      </c>
      <c r="I22" s="100">
        <f t="shared" si="4"/>
        <v>0</v>
      </c>
      <c r="J22" s="100">
        <f t="shared" si="4"/>
        <v>0</v>
      </c>
      <c r="K22" s="100">
        <f t="shared" si="4"/>
        <v>0</v>
      </c>
      <c r="L22" s="100">
        <f>SUM(L19:L21)</f>
        <v>0</v>
      </c>
      <c r="M22" s="100">
        <f t="shared" si="4"/>
        <v>0</v>
      </c>
      <c r="N22" s="100">
        <f t="shared" si="4"/>
        <v>0</v>
      </c>
      <c r="O22" s="105">
        <f>SUM(O18:O21)</f>
        <v>0</v>
      </c>
      <c r="P22" s="103">
        <f>SUM(P19:P21)</f>
        <v>0</v>
      </c>
      <c r="Q22" s="103">
        <f>SUM(Q19:Q21)</f>
        <v>0</v>
      </c>
      <c r="R22" s="11"/>
      <c r="S22" s="11"/>
      <c r="T22" s="11"/>
      <c r="U22" s="11"/>
      <c r="V22" s="11"/>
    </row>
    <row r="23" spans="1:22" ht="20.100000000000001" customHeight="1" x14ac:dyDescent="0.25">
      <c r="A23" s="30"/>
      <c r="B23" s="39" t="s">
        <v>23</v>
      </c>
      <c r="C23" s="99"/>
      <c r="D23" s="99"/>
      <c r="E23" s="99"/>
      <c r="F23" s="99"/>
      <c r="G23" s="99"/>
      <c r="H23" s="99"/>
      <c r="I23" s="99"/>
      <c r="J23" s="99"/>
      <c r="K23" s="102"/>
      <c r="L23" s="102"/>
      <c r="M23" s="102"/>
      <c r="N23" s="102"/>
      <c r="O23" s="98"/>
      <c r="P23" s="110"/>
      <c r="Q23" s="110"/>
      <c r="R23" s="11"/>
      <c r="S23" s="11"/>
      <c r="T23" s="11"/>
      <c r="U23" s="11"/>
      <c r="V23" s="11"/>
    </row>
    <row r="24" spans="1:22" s="55" customFormat="1" ht="20.100000000000001" customHeight="1" x14ac:dyDescent="0.25">
      <c r="A24" s="51">
        <v>14</v>
      </c>
      <c r="B24" s="52" t="s">
        <v>24</v>
      </c>
      <c r="C24" s="103">
        <f t="shared" ref="C24:N24" si="5">C17-C22</f>
        <v>0</v>
      </c>
      <c r="D24" s="103">
        <f t="shared" si="5"/>
        <v>0</v>
      </c>
      <c r="E24" s="103">
        <f t="shared" si="5"/>
        <v>0</v>
      </c>
      <c r="F24" s="103">
        <f t="shared" si="5"/>
        <v>0</v>
      </c>
      <c r="G24" s="103">
        <f t="shared" si="5"/>
        <v>0</v>
      </c>
      <c r="H24" s="103">
        <f t="shared" si="5"/>
        <v>0</v>
      </c>
      <c r="I24" s="103">
        <f t="shared" si="5"/>
        <v>0</v>
      </c>
      <c r="J24" s="103">
        <f t="shared" si="5"/>
        <v>0</v>
      </c>
      <c r="K24" s="103">
        <f t="shared" si="5"/>
        <v>0</v>
      </c>
      <c r="L24" s="103">
        <f>L17-L22</f>
        <v>0</v>
      </c>
      <c r="M24" s="103">
        <f t="shared" si="5"/>
        <v>0</v>
      </c>
      <c r="N24" s="103">
        <f t="shared" si="5"/>
        <v>0</v>
      </c>
      <c r="O24" s="103">
        <f>O17-O22</f>
        <v>0</v>
      </c>
      <c r="P24" s="103">
        <f>P17-P22</f>
        <v>0</v>
      </c>
      <c r="Q24" s="103">
        <f>Q17-Q22</f>
        <v>0</v>
      </c>
    </row>
    <row r="25" spans="1:22" ht="20.100000000000001" customHeight="1" x14ac:dyDescent="0.25">
      <c r="A25" s="30">
        <v>15</v>
      </c>
      <c r="B25" s="31" t="s">
        <v>25</v>
      </c>
      <c r="C25" s="99"/>
      <c r="D25" s="99"/>
      <c r="E25" s="99"/>
      <c r="F25" s="99"/>
      <c r="G25" s="99"/>
      <c r="H25" s="99"/>
      <c r="I25" s="99"/>
      <c r="J25" s="99"/>
      <c r="K25" s="102"/>
      <c r="L25" s="102"/>
      <c r="M25" s="102"/>
      <c r="N25" s="102"/>
      <c r="O25" s="98"/>
      <c r="P25" s="110"/>
      <c r="Q25" s="110"/>
      <c r="R25" s="11"/>
      <c r="S25" s="11"/>
      <c r="T25" s="11"/>
      <c r="U25" s="11"/>
      <c r="V25" s="11"/>
    </row>
    <row r="26" spans="1:22" s="9" customFormat="1" ht="30" x14ac:dyDescent="0.25">
      <c r="A26" s="41">
        <v>16</v>
      </c>
      <c r="B26" s="42" t="s">
        <v>26</v>
      </c>
      <c r="C26" s="106">
        <f>ROUNDDOWN(SUM(C24)*12/1,-3)</f>
        <v>0</v>
      </c>
      <c r="D26" s="106">
        <f>ROUNDDOWN(SUM(C24:D24)*12/2,-3)</f>
        <v>0</v>
      </c>
      <c r="E26" s="106">
        <f>ROUNDDOWN(SUM(C24:E24)*12/3,-3)</f>
        <v>0</v>
      </c>
      <c r="F26" s="106">
        <f>ROUNDDOWN(SUM(C24:F24)*12/4,-3)</f>
        <v>0</v>
      </c>
      <c r="G26" s="106">
        <f>ROUNDDOWN(SUM(C24:G24)*12/5,-3)</f>
        <v>0</v>
      </c>
      <c r="H26" s="106">
        <f>ROUNDDOWN(SUM(C24:H24)*12/6,-3)</f>
        <v>0</v>
      </c>
      <c r="I26" s="106">
        <f>ROUNDDOWN(SUM(C24:I24)*12/7,-3)</f>
        <v>0</v>
      </c>
      <c r="J26" s="106">
        <f>ROUNDDOWN(SUM(C24:J24)*12/8,-3)</f>
        <v>0</v>
      </c>
      <c r="K26" s="106">
        <f>ROUNDDOWN(SUM(C24:K24)*12/9,-3)</f>
        <v>0</v>
      </c>
      <c r="L26" s="106">
        <f>ROUNDDOWN(SUM(C24:L24)*12/10,-3)</f>
        <v>0</v>
      </c>
      <c r="M26" s="106">
        <f>ROUNDDOWN(SUM(C24:M24)*12/11,-3)</f>
        <v>0</v>
      </c>
      <c r="N26" s="106">
        <f>ROUNDDOWN(SUM(C24:N24)*12/12,-3)</f>
        <v>0</v>
      </c>
      <c r="O26" s="107">
        <f>O24</f>
        <v>0</v>
      </c>
      <c r="P26" s="108">
        <f>P24</f>
        <v>0</v>
      </c>
      <c r="Q26" s="108">
        <f>Q24</f>
        <v>0</v>
      </c>
      <c r="R26" s="21"/>
      <c r="S26" s="21"/>
      <c r="T26" s="21"/>
      <c r="U26" s="21"/>
      <c r="V26" s="21"/>
    </row>
    <row r="27" spans="1:22" s="134" customFormat="1" ht="20.100000000000001" customHeight="1" x14ac:dyDescent="0.25">
      <c r="A27" s="51">
        <v>17</v>
      </c>
      <c r="B27" s="52" t="s">
        <v>27</v>
      </c>
      <c r="C27" s="103">
        <v>72000000</v>
      </c>
      <c r="D27" s="103">
        <f>C27</f>
        <v>72000000</v>
      </c>
      <c r="E27" s="103">
        <f t="shared" ref="E27:M27" si="6">D27</f>
        <v>72000000</v>
      </c>
      <c r="F27" s="103">
        <f t="shared" si="6"/>
        <v>72000000</v>
      </c>
      <c r="G27" s="103">
        <f t="shared" si="6"/>
        <v>72000000</v>
      </c>
      <c r="H27" s="103">
        <f>G27</f>
        <v>72000000</v>
      </c>
      <c r="I27" s="103">
        <f t="shared" si="6"/>
        <v>72000000</v>
      </c>
      <c r="J27" s="103">
        <f t="shared" si="6"/>
        <v>72000000</v>
      </c>
      <c r="K27" s="103">
        <f t="shared" si="6"/>
        <v>72000000</v>
      </c>
      <c r="L27" s="103">
        <f t="shared" si="6"/>
        <v>72000000</v>
      </c>
      <c r="M27" s="103">
        <f t="shared" si="6"/>
        <v>72000000</v>
      </c>
      <c r="N27" s="103">
        <f>M27</f>
        <v>72000000</v>
      </c>
      <c r="O27" s="103">
        <f>N27</f>
        <v>72000000</v>
      </c>
      <c r="P27" s="103">
        <f>O27</f>
        <v>72000000</v>
      </c>
      <c r="Q27" s="103">
        <f>P27</f>
        <v>72000000</v>
      </c>
    </row>
    <row r="28" spans="1:22" ht="20.100000000000001" customHeight="1" x14ac:dyDescent="0.25">
      <c r="A28" s="30">
        <v>18</v>
      </c>
      <c r="B28" s="31" t="s">
        <v>28</v>
      </c>
      <c r="C28" s="101">
        <f>ROUNDDOWN(IF(C26&lt;=C27,0,IF(C26&gt;C27,C26-C27)),-3)</f>
        <v>0</v>
      </c>
      <c r="D28" s="101">
        <f t="shared" ref="D28:Q28" si="7">ROUNDDOWN(IF(D26&lt;=D27,0,IF(D26&gt;D27,D26-D27)),-3)</f>
        <v>0</v>
      </c>
      <c r="E28" s="101">
        <f>ROUNDDOWN(IF(E26&lt;=E27,0,IF(E26&gt;E27,E26-E27)),-3)</f>
        <v>0</v>
      </c>
      <c r="F28" s="101">
        <f t="shared" si="7"/>
        <v>0</v>
      </c>
      <c r="G28" s="101">
        <f t="shared" si="7"/>
        <v>0</v>
      </c>
      <c r="H28" s="101">
        <f t="shared" si="7"/>
        <v>0</v>
      </c>
      <c r="I28" s="101">
        <f t="shared" si="7"/>
        <v>0</v>
      </c>
      <c r="J28" s="101">
        <f t="shared" si="7"/>
        <v>0</v>
      </c>
      <c r="K28" s="101">
        <f t="shared" si="7"/>
        <v>0</v>
      </c>
      <c r="L28" s="101">
        <f t="shared" si="7"/>
        <v>0</v>
      </c>
      <c r="M28" s="101">
        <f t="shared" si="7"/>
        <v>0</v>
      </c>
      <c r="N28" s="101">
        <f t="shared" si="7"/>
        <v>0</v>
      </c>
      <c r="O28" s="101">
        <f t="shared" si="7"/>
        <v>0</v>
      </c>
      <c r="P28" s="103">
        <f t="shared" si="7"/>
        <v>0</v>
      </c>
      <c r="Q28" s="103">
        <f t="shared" si="7"/>
        <v>0</v>
      </c>
      <c r="R28" s="11"/>
      <c r="S28" s="11"/>
      <c r="T28" s="11"/>
      <c r="U28" s="11"/>
      <c r="V28" s="11"/>
    </row>
    <row r="29" spans="1:22" ht="20.100000000000001" customHeight="1" x14ac:dyDescent="0.25">
      <c r="A29" s="30">
        <v>19</v>
      </c>
      <c r="B29" s="31" t="s">
        <v>29</v>
      </c>
      <c r="C29" s="100">
        <f t="shared" ref="C29:O29" si="8">IF(C28&lt;0,0,IF(C28&lt;50000000,C28*5%,IF(C28&lt;250000000,(C28-50000000)*15%+2500000,IF(C28&lt;500000000,(C28-250000000)*25%+32500000,IF(C28&gt;500000000,(C28-500000000)*30%+95000000)))))</f>
        <v>0</v>
      </c>
      <c r="D29" s="100">
        <f t="shared" si="8"/>
        <v>0</v>
      </c>
      <c r="E29" s="100">
        <f>IF(E28&lt;0,0,IF(E28&lt;50000000,E28*5%,IF(E28&lt;250000000,(E28-50000000)*15%+2500000,IF(E28&lt;500000000,(E28-250000000)*25%+32500000,IF(E28&gt;500000000,(E28-500000000)*30%+95000000)))))</f>
        <v>0</v>
      </c>
      <c r="F29" s="100">
        <f t="shared" si="8"/>
        <v>0</v>
      </c>
      <c r="G29" s="100">
        <f t="shared" si="8"/>
        <v>0</v>
      </c>
      <c r="H29" s="100">
        <f t="shared" si="8"/>
        <v>0</v>
      </c>
      <c r="I29" s="100">
        <f t="shared" si="8"/>
        <v>0</v>
      </c>
      <c r="J29" s="100">
        <f t="shared" si="8"/>
        <v>0</v>
      </c>
      <c r="K29" s="100">
        <f t="shared" si="8"/>
        <v>0</v>
      </c>
      <c r="L29" s="100">
        <f t="shared" si="8"/>
        <v>0</v>
      </c>
      <c r="M29" s="100">
        <f t="shared" si="8"/>
        <v>0</v>
      </c>
      <c r="N29" s="100">
        <f t="shared" si="8"/>
        <v>0</v>
      </c>
      <c r="O29" s="100">
        <f t="shared" si="8"/>
        <v>0</v>
      </c>
      <c r="P29" s="103">
        <f>IF(P28&lt;0,0,IF(P28&lt;50000000,P28*5%,IF(P28&lt;250000000,(P28-50000000)*15%+2500000,IF(P28&lt;500000000,(P28-250000000)*25%+32500000,IF(P28&gt;500000000,(P28-500000000)*30%+95000000)))))</f>
        <v>0</v>
      </c>
      <c r="Q29" s="103">
        <f>IF(Q28&lt;0,0,IF(Q28&lt;50000000,Q28*5%,IF(Q28&lt;250000000,(Q28-50000000)*15%+2500000,IF(Q28&lt;500000000,(Q28-250000000)*25%+32500000,IF(Q28&gt;500000000,(Q28-500000000)*30%+95000000)))))</f>
        <v>0</v>
      </c>
      <c r="R29" s="11"/>
      <c r="S29" s="11"/>
      <c r="T29" s="11"/>
      <c r="U29" s="11"/>
      <c r="V29" s="11"/>
    </row>
    <row r="30" spans="1:22" ht="20.100000000000001" customHeight="1" x14ac:dyDescent="0.25">
      <c r="A30" s="30">
        <v>20</v>
      </c>
      <c r="B30" s="31" t="s">
        <v>30</v>
      </c>
      <c r="C30" s="99"/>
      <c r="D30" s="99"/>
      <c r="E30" s="99"/>
      <c r="F30" s="99"/>
      <c r="G30" s="99"/>
      <c r="H30" s="99"/>
      <c r="I30" s="99"/>
      <c r="J30" s="99"/>
      <c r="K30" s="102"/>
      <c r="L30" s="102"/>
      <c r="M30" s="102"/>
      <c r="N30" s="102"/>
      <c r="O30" s="101"/>
      <c r="P30" s="110"/>
      <c r="Q30" s="110"/>
      <c r="R30" s="11"/>
      <c r="S30" s="11"/>
      <c r="T30" s="11"/>
      <c r="U30" s="11"/>
      <c r="V30" s="11"/>
    </row>
    <row r="31" spans="1:22" s="55" customFormat="1" ht="20.100000000000001" customHeight="1" x14ac:dyDescent="0.25">
      <c r="A31" s="51">
        <v>21</v>
      </c>
      <c r="B31" s="52" t="s">
        <v>31</v>
      </c>
      <c r="C31" s="103">
        <f>C29-C30</f>
        <v>0</v>
      </c>
      <c r="D31" s="103">
        <f t="shared" ref="D31:N31" si="9">D29-D30</f>
        <v>0</v>
      </c>
      <c r="E31" s="103">
        <f t="shared" si="9"/>
        <v>0</v>
      </c>
      <c r="F31" s="103">
        <f t="shared" si="9"/>
        <v>0</v>
      </c>
      <c r="G31" s="103">
        <f t="shared" si="9"/>
        <v>0</v>
      </c>
      <c r="H31" s="103">
        <f t="shared" si="9"/>
        <v>0</v>
      </c>
      <c r="I31" s="103">
        <f t="shared" si="9"/>
        <v>0</v>
      </c>
      <c r="J31" s="103">
        <f t="shared" si="9"/>
        <v>0</v>
      </c>
      <c r="K31" s="103">
        <f t="shared" si="9"/>
        <v>0</v>
      </c>
      <c r="L31" s="103">
        <f t="shared" si="9"/>
        <v>0</v>
      </c>
      <c r="M31" s="103">
        <f t="shared" si="9"/>
        <v>0</v>
      </c>
      <c r="N31" s="103">
        <f t="shared" si="9"/>
        <v>0</v>
      </c>
      <c r="O31" s="103">
        <f>O29</f>
        <v>0</v>
      </c>
      <c r="P31" s="103">
        <f>P29+P30</f>
        <v>0</v>
      </c>
      <c r="Q31" s="103">
        <f>Q29+Q30</f>
        <v>0</v>
      </c>
    </row>
    <row r="32" spans="1:22" s="60" customFormat="1" ht="20.100000000000001" customHeight="1" x14ac:dyDescent="0.25">
      <c r="A32" s="57">
        <v>22</v>
      </c>
      <c r="B32" s="58" t="s">
        <v>32</v>
      </c>
      <c r="C32" s="108">
        <f>(C31/12*1)*120%</f>
        <v>0</v>
      </c>
      <c r="D32" s="108">
        <f>(D31/12*2*120%)-SUM(C32)</f>
        <v>0</v>
      </c>
      <c r="E32" s="108">
        <f>(E31/12*3*120%-SUM(C32:D32))</f>
        <v>0</v>
      </c>
      <c r="F32" s="108">
        <f>(F31/12*4*120%-SUM(C32:E32))</f>
        <v>0</v>
      </c>
      <c r="G32" s="108">
        <f>(G31/12*5*120%-SUM(C32:F32))+P33</f>
        <v>0</v>
      </c>
      <c r="H32" s="108">
        <f>(H31/12*6*120%-SUM(C32:G32))</f>
        <v>0</v>
      </c>
      <c r="I32" s="108">
        <f>(I31/12*7*120%-SUM(C32:H32))</f>
        <v>0</v>
      </c>
      <c r="J32" s="108">
        <f>(J31/12*8*120%-SUM(C32:I32))</f>
        <v>0</v>
      </c>
      <c r="K32" s="108">
        <f>(K31/12*9*120%-SUM(C32:J32))</f>
        <v>0</v>
      </c>
      <c r="L32" s="108">
        <f>(L31/12*10*120%-SUM(C32:K32))</f>
        <v>0</v>
      </c>
      <c r="M32" s="108">
        <f>(M31/12*11*120%-SUM(C32:L32))</f>
        <v>0</v>
      </c>
      <c r="N32" s="108">
        <f>(N31/12*12*120%-SUM(C32:M32))</f>
        <v>0</v>
      </c>
      <c r="O32" s="103">
        <f>SUM(C32:N32)*120%+P33</f>
        <v>0</v>
      </c>
      <c r="P32" s="108">
        <v>0</v>
      </c>
      <c r="Q32" s="108">
        <f>Q31/12</f>
        <v>0</v>
      </c>
    </row>
    <row r="33" spans="1:17" s="60" customFormat="1" ht="20.100000000000001" customHeight="1" x14ac:dyDescent="0.25">
      <c r="A33" s="57"/>
      <c r="B33" s="58" t="s">
        <v>81</v>
      </c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9" t="s">
        <v>82</v>
      </c>
      <c r="P33" s="129">
        <v>0</v>
      </c>
      <c r="Q33" s="110">
        <v>0</v>
      </c>
    </row>
    <row r="34" spans="1:17" x14ac:dyDescent="0.25">
      <c r="A34" s="47"/>
      <c r="B34" s="31" t="s">
        <v>33</v>
      </c>
      <c r="C34" s="99"/>
      <c r="D34" s="99"/>
      <c r="E34" s="99"/>
      <c r="F34" s="99"/>
      <c r="G34" s="99"/>
      <c r="H34" s="99"/>
      <c r="I34" s="99"/>
      <c r="J34" s="99"/>
      <c r="K34" s="102"/>
      <c r="L34" s="102"/>
      <c r="M34" s="102"/>
      <c r="N34" s="111"/>
      <c r="O34" s="112"/>
      <c r="P34" s="129">
        <v>0</v>
      </c>
      <c r="Q34" s="110"/>
    </row>
    <row r="35" spans="1:17" ht="20.100000000000001" customHeight="1" x14ac:dyDescent="0.25">
      <c r="A35" s="47"/>
      <c r="B35" s="31" t="s">
        <v>75</v>
      </c>
      <c r="C35" s="99"/>
      <c r="D35" s="99"/>
      <c r="E35" s="99"/>
      <c r="F35" s="99"/>
      <c r="G35" s="99"/>
      <c r="H35" s="99"/>
      <c r="I35" s="99"/>
      <c r="J35" s="99"/>
      <c r="K35" s="102"/>
      <c r="L35" s="102"/>
      <c r="M35" s="102"/>
      <c r="N35" s="111"/>
      <c r="O35" s="112"/>
      <c r="P35" s="132">
        <f>P33+Q32-P34</f>
        <v>0</v>
      </c>
      <c r="Q35" s="110"/>
    </row>
    <row r="36" spans="1:17" ht="20.100000000000001" customHeight="1" x14ac:dyDescent="0.25">
      <c r="A36" s="47"/>
      <c r="B36" s="31" t="s">
        <v>76</v>
      </c>
      <c r="C36" s="99"/>
      <c r="D36" s="99"/>
      <c r="E36" s="99"/>
      <c r="F36" s="99"/>
      <c r="G36" s="99"/>
      <c r="H36" s="99"/>
      <c r="I36" s="99"/>
      <c r="J36" s="99"/>
      <c r="K36" s="102"/>
      <c r="L36" s="102"/>
      <c r="M36" s="102"/>
      <c r="N36" s="111"/>
      <c r="O36" s="112"/>
      <c r="P36" s="110"/>
      <c r="Q36" s="110"/>
    </row>
    <row r="37" spans="1:17" s="2" customFormat="1" ht="20.100000000000001" customHeight="1" x14ac:dyDescent="0.25">
      <c r="A37" s="47"/>
      <c r="B37" s="49" t="s">
        <v>34</v>
      </c>
      <c r="C37" s="113">
        <f t="shared" ref="C37:J37" si="10">C17-C21-C32</f>
        <v>0</v>
      </c>
      <c r="D37" s="113">
        <f t="shared" si="10"/>
        <v>0</v>
      </c>
      <c r="E37" s="113">
        <f t="shared" si="10"/>
        <v>0</v>
      </c>
      <c r="F37" s="113">
        <f t="shared" si="10"/>
        <v>0</v>
      </c>
      <c r="G37" s="113">
        <f t="shared" si="10"/>
        <v>0</v>
      </c>
      <c r="H37" s="113">
        <f t="shared" si="10"/>
        <v>0</v>
      </c>
      <c r="I37" s="113">
        <f t="shared" si="10"/>
        <v>0</v>
      </c>
      <c r="J37" s="113">
        <f t="shared" si="10"/>
        <v>0</v>
      </c>
      <c r="K37" s="113">
        <f>K17-K21-K32</f>
        <v>0</v>
      </c>
      <c r="L37" s="113">
        <f>L17-L21-L32</f>
        <v>0</v>
      </c>
      <c r="M37" s="113">
        <f>M17-M21-M32</f>
        <v>0</v>
      </c>
      <c r="N37" s="113">
        <f>N17-N21-N32</f>
        <v>0</v>
      </c>
      <c r="O37" s="113">
        <f>O17-O21-O32-O34</f>
        <v>0</v>
      </c>
      <c r="P37" s="126">
        <f>P17-P21-P32</f>
        <v>0</v>
      </c>
      <c r="Q37" s="126">
        <f>Q17-Q21-Q32</f>
        <v>0</v>
      </c>
    </row>
    <row r="38" spans="1:17" x14ac:dyDescent="0.25">
      <c r="C38" s="18"/>
      <c r="D38" s="18"/>
      <c r="E38" s="18"/>
      <c r="F38" s="18"/>
      <c r="G38" s="18"/>
      <c r="H38" s="18"/>
      <c r="I38" s="18"/>
      <c r="J38" s="18"/>
      <c r="K38" s="18"/>
      <c r="O38" s="18"/>
      <c r="P38" s="114"/>
      <c r="Q38" s="114"/>
    </row>
    <row r="39" spans="1:17" s="62" customFormat="1" x14ac:dyDescent="0.25">
      <c r="B39" s="63" t="s">
        <v>65</v>
      </c>
      <c r="C39" s="115" t="s">
        <v>66</v>
      </c>
      <c r="D39" s="116"/>
      <c r="E39" s="116"/>
      <c r="F39" s="116"/>
      <c r="G39" s="116"/>
      <c r="H39" s="116"/>
      <c r="I39" s="116"/>
      <c r="J39" s="116"/>
      <c r="K39" s="116"/>
      <c r="L39" s="117"/>
      <c r="M39" s="117"/>
      <c r="N39" s="117"/>
      <c r="O39" s="116"/>
      <c r="P39" s="118"/>
      <c r="Q39" s="118"/>
    </row>
    <row r="40" spans="1:17" x14ac:dyDescent="0.25">
      <c r="B40" s="8" t="s">
        <v>67</v>
      </c>
      <c r="C40" s="127">
        <v>54000000</v>
      </c>
    </row>
    <row r="41" spans="1:17" x14ac:dyDescent="0.25">
      <c r="B41" s="8" t="s">
        <v>93</v>
      </c>
      <c r="C41" s="127">
        <v>58500000</v>
      </c>
    </row>
    <row r="42" spans="1:17" x14ac:dyDescent="0.25">
      <c r="B42" s="8" t="s">
        <v>94</v>
      </c>
      <c r="C42" s="127">
        <v>63000000</v>
      </c>
    </row>
    <row r="43" spans="1:17" x14ac:dyDescent="0.25">
      <c r="B43" s="8" t="s">
        <v>95</v>
      </c>
      <c r="C43" s="127">
        <v>67500000</v>
      </c>
    </row>
    <row r="44" spans="1:17" x14ac:dyDescent="0.25">
      <c r="B44" s="8" t="s">
        <v>68</v>
      </c>
      <c r="C44" s="127">
        <v>58500000</v>
      </c>
    </row>
    <row r="45" spans="1:17" x14ac:dyDescent="0.25">
      <c r="B45" s="8" t="s">
        <v>69</v>
      </c>
      <c r="C45" s="127">
        <v>63000000</v>
      </c>
    </row>
    <row r="46" spans="1:17" x14ac:dyDescent="0.25">
      <c r="B46" s="8" t="s">
        <v>50</v>
      </c>
      <c r="C46" s="127">
        <v>67500000</v>
      </c>
    </row>
    <row r="47" spans="1:17" x14ac:dyDescent="0.25">
      <c r="B47" s="8" t="s">
        <v>64</v>
      </c>
      <c r="C47" s="127">
        <v>72000000</v>
      </c>
    </row>
    <row r="48" spans="1:17" x14ac:dyDescent="0.25">
      <c r="B48" s="8" t="s">
        <v>96</v>
      </c>
      <c r="C48" s="127">
        <v>112500000</v>
      </c>
    </row>
    <row r="49" spans="2:17" x14ac:dyDescent="0.25">
      <c r="B49" s="8" t="s">
        <v>97</v>
      </c>
      <c r="C49" s="127">
        <v>117000000</v>
      </c>
    </row>
    <row r="50" spans="2:17" x14ac:dyDescent="0.25">
      <c r="B50" s="8" t="s">
        <v>98</v>
      </c>
      <c r="C50" s="127">
        <v>121500000</v>
      </c>
    </row>
    <row r="51" spans="2:17" x14ac:dyDescent="0.25">
      <c r="B51" s="8" t="s">
        <v>99</v>
      </c>
      <c r="C51" s="127">
        <v>126000000</v>
      </c>
      <c r="P51" s="93"/>
      <c r="Q51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D10:N14 P9:Q14 C9:N9" xr:uid="{00000000-0002-0000-0800-000000000000}"/>
  </dataValidations>
  <pageMargins left="0.7" right="0.7" top="0.75" bottom="0.75" header="0.3" footer="0.3"/>
  <pageSetup paperSize="9" orientation="portrait" horizontalDpi="360" verticalDpi="36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Sheet91"/>
  <dimension ref="A1:V59"/>
  <sheetViews>
    <sheetView zoomScale="61" workbookViewId="0">
      <selection activeCell="L19" sqref="L19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ht="15.75" thickBot="1" x14ac:dyDescent="0.3">
      <c r="A1" s="6" t="s">
        <v>52</v>
      </c>
      <c r="B1" s="142" t="s">
        <v>608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3500000</v>
      </c>
      <c r="D13" s="92"/>
      <c r="E13" s="92"/>
      <c r="F13" s="92"/>
      <c r="G13" s="92">
        <v>2986380</v>
      </c>
      <c r="H13" s="92"/>
      <c r="I13" s="92"/>
      <c r="J13" s="92">
        <v>4000000</v>
      </c>
      <c r="K13" s="92"/>
      <c r="L13" s="92">
        <v>4000000</v>
      </c>
      <c r="M13" s="92"/>
      <c r="N13" s="92"/>
      <c r="O13" s="32">
        <f>SUM(C13:N13)</f>
        <v>14486380</v>
      </c>
      <c r="P13" s="123">
        <f t="shared" ref="P13:P18" si="1">Q13</f>
        <v>0</v>
      </c>
      <c r="Q13" s="123">
        <f>F13*12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7" si="2">F14*12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ref="Q13:Q18" si="3">G18*12</f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3500000</v>
      </c>
      <c r="D19" s="37"/>
      <c r="E19" s="37"/>
      <c r="F19" s="37"/>
      <c r="G19" s="37">
        <f>SUM(G13:G18)</f>
        <v>2986380</v>
      </c>
      <c r="H19" s="37"/>
      <c r="I19" s="37"/>
      <c r="J19" s="37">
        <f>SUM(J13:J18)</f>
        <v>4000000</v>
      </c>
      <c r="K19" s="37"/>
      <c r="L19" s="37">
        <f>SUM(L13:L18)</f>
        <v>4000000</v>
      </c>
      <c r="M19" s="37"/>
      <c r="N19" s="37"/>
      <c r="O19" s="38">
        <f>SUM(O13:O18)</f>
        <v>14486380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3500000</v>
      </c>
      <c r="D21" s="259">
        <f t="shared" ref="D21:N21" si="4">D19+D20</f>
        <v>0</v>
      </c>
      <c r="E21" s="259">
        <f t="shared" si="4"/>
        <v>0</v>
      </c>
      <c r="F21" s="259">
        <f t="shared" si="4"/>
        <v>0</v>
      </c>
      <c r="G21" s="259">
        <f>G19+G20</f>
        <v>2986380</v>
      </c>
      <c r="H21" s="259">
        <f t="shared" si="4"/>
        <v>0</v>
      </c>
      <c r="I21" s="259">
        <f t="shared" si="4"/>
        <v>0</v>
      </c>
      <c r="J21" s="259">
        <f t="shared" si="4"/>
        <v>4000000</v>
      </c>
      <c r="K21" s="259">
        <f t="shared" si="4"/>
        <v>0</v>
      </c>
      <c r="L21" s="259">
        <f t="shared" si="4"/>
        <v>4000000</v>
      </c>
      <c r="M21" s="259">
        <f t="shared" si="4"/>
        <v>0</v>
      </c>
      <c r="N21" s="259">
        <f t="shared" si="4"/>
        <v>0</v>
      </c>
      <c r="O21" s="259">
        <f>O19+O20</f>
        <v>14486380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175000</v>
      </c>
      <c r="D23" s="257">
        <f t="shared" ref="D23:O23" si="5">IF(D21*5%&lt;500000,D21*5%,500000)</f>
        <v>0</v>
      </c>
      <c r="E23" s="257">
        <f t="shared" si="5"/>
        <v>0</v>
      </c>
      <c r="F23" s="257">
        <f t="shared" si="5"/>
        <v>0</v>
      </c>
      <c r="G23" s="257">
        <f>IF(G21*5%&lt;500000,G21*5%,500000)</f>
        <v>149319</v>
      </c>
      <c r="H23" s="257">
        <f t="shared" si="5"/>
        <v>0</v>
      </c>
      <c r="I23" s="257">
        <f t="shared" si="5"/>
        <v>0</v>
      </c>
      <c r="J23" s="257">
        <f t="shared" si="5"/>
        <v>200000</v>
      </c>
      <c r="K23" s="257">
        <f t="shared" si="5"/>
        <v>0</v>
      </c>
      <c r="L23" s="257">
        <f t="shared" si="5"/>
        <v>200000</v>
      </c>
      <c r="M23" s="257">
        <f t="shared" si="5"/>
        <v>0</v>
      </c>
      <c r="N23" s="257">
        <f t="shared" si="5"/>
        <v>0</v>
      </c>
      <c r="O23" s="257">
        <f>IF(O21*5%&lt;6000000,O21*5%,6000000)</f>
        <v>724319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175000</v>
      </c>
      <c r="D26" s="257">
        <f t="shared" si="6"/>
        <v>0</v>
      </c>
      <c r="E26" s="257">
        <f t="shared" si="6"/>
        <v>0</v>
      </c>
      <c r="F26" s="257">
        <f t="shared" si="6"/>
        <v>0</v>
      </c>
      <c r="G26" s="257">
        <f>SUM(G23:G25)</f>
        <v>149319</v>
      </c>
      <c r="H26" s="257">
        <f t="shared" si="6"/>
        <v>0</v>
      </c>
      <c r="I26" s="257">
        <f t="shared" si="6"/>
        <v>0</v>
      </c>
      <c r="J26" s="257">
        <f t="shared" si="6"/>
        <v>200000</v>
      </c>
      <c r="K26" s="257">
        <f t="shared" si="6"/>
        <v>0</v>
      </c>
      <c r="L26" s="257">
        <f t="shared" si="6"/>
        <v>200000</v>
      </c>
      <c r="M26" s="257">
        <f t="shared" si="6"/>
        <v>0</v>
      </c>
      <c r="N26" s="257">
        <f t="shared" si="6"/>
        <v>0</v>
      </c>
      <c r="O26" s="263">
        <f>SUM(O22:O25)</f>
        <v>724319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3325000</v>
      </c>
      <c r="D28" s="255">
        <f t="shared" ref="D28:O28" si="7">D21-D26</f>
        <v>0</v>
      </c>
      <c r="E28" s="255">
        <f t="shared" si="7"/>
        <v>0</v>
      </c>
      <c r="F28" s="255">
        <f t="shared" si="7"/>
        <v>0</v>
      </c>
      <c r="G28" s="255">
        <f>G21-G26</f>
        <v>2837061</v>
      </c>
      <c r="H28" s="255">
        <f t="shared" si="7"/>
        <v>0</v>
      </c>
      <c r="I28" s="255">
        <f t="shared" si="7"/>
        <v>0</v>
      </c>
      <c r="J28" s="255">
        <f t="shared" si="7"/>
        <v>3800000</v>
      </c>
      <c r="K28" s="255">
        <f t="shared" si="7"/>
        <v>0</v>
      </c>
      <c r="L28" s="255">
        <f t="shared" si="7"/>
        <v>3800000</v>
      </c>
      <c r="M28" s="255">
        <f t="shared" si="7"/>
        <v>0</v>
      </c>
      <c r="N28" s="255">
        <f t="shared" si="7"/>
        <v>0</v>
      </c>
      <c r="O28" s="255">
        <f t="shared" si="7"/>
        <v>13762061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39900000</v>
      </c>
      <c r="D30" s="253">
        <f>SUM(C28:D28)*D10/D11</f>
        <v>19950000</v>
      </c>
      <c r="E30" s="253">
        <f>SUM(C28:E28)*E10/E11</f>
        <v>13300000</v>
      </c>
      <c r="F30" s="253">
        <f>SUM(C28:F28)*F10/F11</f>
        <v>9975000</v>
      </c>
      <c r="G30" s="253">
        <f>SUM(C28:G28)*G10/G11</f>
        <v>14788946.4</v>
      </c>
      <c r="H30" s="253">
        <f>SUM(C28:H28)*H10/H11</f>
        <v>12324122</v>
      </c>
      <c r="I30" s="253">
        <f>SUM(C28:I28)*I10/I11</f>
        <v>10563533.142857144</v>
      </c>
      <c r="J30" s="253">
        <f>SUM(C28:J28)*J10/J11</f>
        <v>14943091.5</v>
      </c>
      <c r="K30" s="253">
        <f>SUM(C28:K28)*K10/K11</f>
        <v>13282748</v>
      </c>
      <c r="L30" s="253">
        <f>SUM(C28:L28)*L10/L11</f>
        <v>16514473.199999999</v>
      </c>
      <c r="M30" s="253">
        <f>SUM(C28:M28)*M10/M11</f>
        <v>15013157.454545455</v>
      </c>
      <c r="N30" s="253">
        <f>SUM(C28:N28)*N10/N11</f>
        <v>13762061</v>
      </c>
      <c r="O30" s="254">
        <f>O28</f>
        <v>13762061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54000000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103">
        <f>IF(P32&lt;0,0,IF(P32&lt;50000000,P32*5%,IF(P32&lt;250000000,(P32-50000000)*15%+2500000,IF(P32&lt;500000000,(P32-250000000)*25%+32500000,IF(P32&gt;500000000,(P32-500000000)*30%+95000000)))))</f>
        <v>0</v>
      </c>
      <c r="Q33" s="103">
        <f>IF(Q32&lt;0,0,IF(Q32&lt;50000000,Q32*5%,IF(Q32&lt;250000000,(Q32-50000000)*15%+2500000,IF(Q32&lt;500000000,(Q32-250000000)*25%+32500000,IF(Q32&gt;500000000,(Q32-500000000)*30%+95000000)))))</f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2">D33-D34</f>
        <v>0</v>
      </c>
      <c r="E35" s="255">
        <f t="shared" si="12"/>
        <v>0</v>
      </c>
      <c r="F35" s="255">
        <f t="shared" si="12"/>
        <v>0</v>
      </c>
      <c r="G35" s="255">
        <f t="shared" si="12"/>
        <v>0</v>
      </c>
      <c r="H35" s="255">
        <f t="shared" si="12"/>
        <v>0</v>
      </c>
      <c r="I35" s="255">
        <f t="shared" si="12"/>
        <v>0</v>
      </c>
      <c r="J35" s="255">
        <f t="shared" si="12"/>
        <v>0</v>
      </c>
      <c r="K35" s="255">
        <f t="shared" si="12"/>
        <v>0</v>
      </c>
      <c r="L35" s="255">
        <f t="shared" si="12"/>
        <v>0</v>
      </c>
      <c r="M35" s="255">
        <f t="shared" si="12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3">C21-C25-C36</f>
        <v>3500000</v>
      </c>
      <c r="D41" s="50">
        <f t="shared" si="13"/>
        <v>0</v>
      </c>
      <c r="E41" s="50">
        <f t="shared" si="13"/>
        <v>0</v>
      </c>
      <c r="F41" s="50">
        <f t="shared" si="13"/>
        <v>0</v>
      </c>
      <c r="G41" s="50">
        <f t="shared" si="13"/>
        <v>2986380</v>
      </c>
      <c r="H41" s="50">
        <f t="shared" si="13"/>
        <v>0</v>
      </c>
      <c r="I41" s="50">
        <f t="shared" si="13"/>
        <v>0</v>
      </c>
      <c r="J41" s="50">
        <f t="shared" si="13"/>
        <v>4000000</v>
      </c>
      <c r="K41" s="50">
        <f>K21-K25-K36</f>
        <v>0</v>
      </c>
      <c r="L41" s="50">
        <f>L21-L25-L36</f>
        <v>4000000</v>
      </c>
      <c r="M41" s="50">
        <f>M21-M25-M36</f>
        <v>0</v>
      </c>
      <c r="N41" s="50">
        <f>N21-N25-N36</f>
        <v>0</v>
      </c>
      <c r="O41" s="50">
        <f>O21-O25-O36-O38</f>
        <v>14486380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13:N13 D14:N18 P13:Q18" xr:uid="{00000000-0002-0000-5A00-000000000000}"/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Sheet92"/>
  <dimension ref="A1:V59"/>
  <sheetViews>
    <sheetView topLeftCell="C1" zoomScale="75" workbookViewId="0">
      <selection activeCell="Q14" sqref="Q14:Q17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ht="15.75" thickBot="1" x14ac:dyDescent="0.3">
      <c r="A1" s="6" t="s">
        <v>52</v>
      </c>
      <c r="B1" s="142" t="s">
        <v>609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>
        <v>1000000</v>
      </c>
      <c r="D13" s="92"/>
      <c r="E13" s="92"/>
      <c r="F13" s="92"/>
      <c r="G13" s="92"/>
      <c r="H13" s="92"/>
      <c r="I13" s="92"/>
      <c r="J13" s="92">
        <v>4000000</v>
      </c>
      <c r="K13" s="92"/>
      <c r="L13" s="92"/>
      <c r="M13" s="92"/>
      <c r="N13" s="92"/>
      <c r="O13" s="32">
        <f>SUM(C13:N13)</f>
        <v>5000000</v>
      </c>
      <c r="P13" s="123">
        <f t="shared" ref="P13:P18" si="1">Q13</f>
        <v>0</v>
      </c>
      <c r="Q13" s="123">
        <f>F13*12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7" si="2">F14*12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ref="Q13:Q18" si="3">G18*12</f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1000000</v>
      </c>
      <c r="D19" s="37"/>
      <c r="E19" s="37"/>
      <c r="F19" s="37"/>
      <c r="G19" s="37"/>
      <c r="H19" s="37"/>
      <c r="I19" s="37">
        <f>SUM(I13:I18)</f>
        <v>0</v>
      </c>
      <c r="J19" s="37">
        <f>SUM(J13:J18)</f>
        <v>4000000</v>
      </c>
      <c r="K19" s="37"/>
      <c r="L19" s="37"/>
      <c r="M19" s="37"/>
      <c r="N19" s="37"/>
      <c r="O19" s="38">
        <f>SUM(O13:O18)</f>
        <v>5000000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1000000</v>
      </c>
      <c r="D21" s="259">
        <f t="shared" ref="D21:N21" si="4">D19+D20</f>
        <v>0</v>
      </c>
      <c r="E21" s="259">
        <f t="shared" si="4"/>
        <v>0</v>
      </c>
      <c r="F21" s="259">
        <f t="shared" si="4"/>
        <v>0</v>
      </c>
      <c r="G21" s="259">
        <f>G19+G20</f>
        <v>0</v>
      </c>
      <c r="H21" s="259">
        <f t="shared" si="4"/>
        <v>0</v>
      </c>
      <c r="I21" s="259">
        <f t="shared" si="4"/>
        <v>0</v>
      </c>
      <c r="J21" s="259">
        <f t="shared" si="4"/>
        <v>4000000</v>
      </c>
      <c r="K21" s="259">
        <f t="shared" si="4"/>
        <v>0</v>
      </c>
      <c r="L21" s="259">
        <f t="shared" si="4"/>
        <v>0</v>
      </c>
      <c r="M21" s="259">
        <f t="shared" si="4"/>
        <v>0</v>
      </c>
      <c r="N21" s="259">
        <f t="shared" si="4"/>
        <v>0</v>
      </c>
      <c r="O21" s="259">
        <f>O19+O20</f>
        <v>5000000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50000</v>
      </c>
      <c r="D23" s="257">
        <f t="shared" ref="D23:O23" si="5">IF(D21*5%&lt;500000,D21*5%,500000)</f>
        <v>0</v>
      </c>
      <c r="E23" s="257">
        <f t="shared" si="5"/>
        <v>0</v>
      </c>
      <c r="F23" s="257">
        <f t="shared" si="5"/>
        <v>0</v>
      </c>
      <c r="G23" s="257">
        <f>IF(G21*5%&lt;500000,G21*5%,500000)</f>
        <v>0</v>
      </c>
      <c r="H23" s="257">
        <f t="shared" si="5"/>
        <v>0</v>
      </c>
      <c r="I23" s="257">
        <f t="shared" si="5"/>
        <v>0</v>
      </c>
      <c r="J23" s="257">
        <f t="shared" si="5"/>
        <v>200000</v>
      </c>
      <c r="K23" s="257">
        <f t="shared" si="5"/>
        <v>0</v>
      </c>
      <c r="L23" s="257">
        <f t="shared" si="5"/>
        <v>0</v>
      </c>
      <c r="M23" s="257">
        <f t="shared" si="5"/>
        <v>0</v>
      </c>
      <c r="N23" s="257">
        <f t="shared" si="5"/>
        <v>0</v>
      </c>
      <c r="O23" s="257">
        <f>IF(O21*5%&lt;6000000,O21*5%,6000000)</f>
        <v>250000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50000</v>
      </c>
      <c r="D26" s="257">
        <f t="shared" si="6"/>
        <v>0</v>
      </c>
      <c r="E26" s="257">
        <f t="shared" si="6"/>
        <v>0</v>
      </c>
      <c r="F26" s="257">
        <f t="shared" si="6"/>
        <v>0</v>
      </c>
      <c r="G26" s="257">
        <f>SUM(G23:G25)</f>
        <v>0</v>
      </c>
      <c r="H26" s="257">
        <f t="shared" si="6"/>
        <v>0</v>
      </c>
      <c r="I26" s="257">
        <f t="shared" si="6"/>
        <v>0</v>
      </c>
      <c r="J26" s="257">
        <f t="shared" si="6"/>
        <v>200000</v>
      </c>
      <c r="K26" s="257">
        <f t="shared" si="6"/>
        <v>0</v>
      </c>
      <c r="L26" s="257">
        <f t="shared" si="6"/>
        <v>0</v>
      </c>
      <c r="M26" s="257">
        <f t="shared" si="6"/>
        <v>0</v>
      </c>
      <c r="N26" s="257">
        <f t="shared" si="6"/>
        <v>0</v>
      </c>
      <c r="O26" s="263">
        <f>SUM(O22:O25)</f>
        <v>250000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950000</v>
      </c>
      <c r="D28" s="255">
        <f t="shared" ref="D28:O28" si="7">D21-D26</f>
        <v>0</v>
      </c>
      <c r="E28" s="255">
        <f t="shared" si="7"/>
        <v>0</v>
      </c>
      <c r="F28" s="255">
        <f t="shared" si="7"/>
        <v>0</v>
      </c>
      <c r="G28" s="255">
        <f>G21-G26</f>
        <v>0</v>
      </c>
      <c r="H28" s="255">
        <f t="shared" si="7"/>
        <v>0</v>
      </c>
      <c r="I28" s="255">
        <f t="shared" si="7"/>
        <v>0</v>
      </c>
      <c r="J28" s="255">
        <f t="shared" si="7"/>
        <v>3800000</v>
      </c>
      <c r="K28" s="255">
        <f t="shared" si="7"/>
        <v>0</v>
      </c>
      <c r="L28" s="255">
        <f t="shared" si="7"/>
        <v>0</v>
      </c>
      <c r="M28" s="255">
        <f t="shared" si="7"/>
        <v>0</v>
      </c>
      <c r="N28" s="255">
        <f t="shared" si="7"/>
        <v>0</v>
      </c>
      <c r="O28" s="255">
        <f t="shared" si="7"/>
        <v>4750000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11400000</v>
      </c>
      <c r="D30" s="253">
        <f>SUM(C28:D28)*D10/D11</f>
        <v>5700000</v>
      </c>
      <c r="E30" s="253">
        <f>SUM(C28:E28)*E10/E11</f>
        <v>3800000</v>
      </c>
      <c r="F30" s="253">
        <f>SUM(C28:F28)*F10/F11</f>
        <v>2850000</v>
      </c>
      <c r="G30" s="253">
        <f>SUM(C28:G28)*G10/G11</f>
        <v>2280000</v>
      </c>
      <c r="H30" s="253">
        <f>SUM(C28:H28)*H10/H11</f>
        <v>1900000</v>
      </c>
      <c r="I30" s="253">
        <f>SUM(C28:I28)*I10/I11</f>
        <v>1628571.4285714286</v>
      </c>
      <c r="J30" s="253">
        <f>SUM(C28:J28)*J10/J11</f>
        <v>7125000</v>
      </c>
      <c r="K30" s="253">
        <f>SUM(C28:K28)*K10/K11</f>
        <v>6333333.333333333</v>
      </c>
      <c r="L30" s="253">
        <f>SUM(C28:L28)*L10/L11</f>
        <v>5700000</v>
      </c>
      <c r="M30" s="253">
        <f>SUM(C28:M28)*M10/M11</f>
        <v>5181818.1818181816</v>
      </c>
      <c r="N30" s="253">
        <f>SUM(C28:N28)*N10/N11</f>
        <v>4750000</v>
      </c>
      <c r="O30" s="254">
        <f>O28</f>
        <v>4750000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54000000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103">
        <f>IF(P32&lt;0,0,IF(P32&lt;50000000,P32*5%,IF(P32&lt;250000000,(P32-50000000)*15%+2500000,IF(P32&lt;500000000,(P32-250000000)*25%+32500000,IF(P32&gt;500000000,(P32-500000000)*30%+95000000)))))</f>
        <v>0</v>
      </c>
      <c r="Q33" s="103">
        <f>IF(Q32&lt;0,0,IF(Q32&lt;50000000,Q32*5%,IF(Q32&lt;250000000,(Q32-50000000)*15%+2500000,IF(Q32&lt;500000000,(Q32-250000000)*25%+32500000,IF(Q32&gt;500000000,(Q32-500000000)*30%+95000000)))))</f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2">D33-D34</f>
        <v>0</v>
      </c>
      <c r="E35" s="255">
        <f t="shared" si="12"/>
        <v>0</v>
      </c>
      <c r="F35" s="255">
        <f t="shared" si="12"/>
        <v>0</v>
      </c>
      <c r="G35" s="255">
        <f t="shared" si="12"/>
        <v>0</v>
      </c>
      <c r="H35" s="255">
        <f t="shared" si="12"/>
        <v>0</v>
      </c>
      <c r="I35" s="255">
        <f t="shared" si="12"/>
        <v>0</v>
      </c>
      <c r="J35" s="255">
        <f t="shared" si="12"/>
        <v>0</v>
      </c>
      <c r="K35" s="255">
        <f t="shared" si="12"/>
        <v>0</v>
      </c>
      <c r="L35" s="255">
        <f t="shared" si="12"/>
        <v>0</v>
      </c>
      <c r="M35" s="255">
        <f t="shared" si="12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3">C21-C25-C36</f>
        <v>1000000</v>
      </c>
      <c r="D41" s="50">
        <f t="shared" si="13"/>
        <v>0</v>
      </c>
      <c r="E41" s="50">
        <f t="shared" si="13"/>
        <v>0</v>
      </c>
      <c r="F41" s="50">
        <f t="shared" si="13"/>
        <v>0</v>
      </c>
      <c r="G41" s="50">
        <f t="shared" si="13"/>
        <v>0</v>
      </c>
      <c r="H41" s="50">
        <f t="shared" si="13"/>
        <v>0</v>
      </c>
      <c r="I41" s="50">
        <f t="shared" si="13"/>
        <v>0</v>
      </c>
      <c r="J41" s="50">
        <f t="shared" si="13"/>
        <v>4000000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0</v>
      </c>
      <c r="O41" s="50">
        <f>O21-O25-O36-O38</f>
        <v>5000000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13:N13 D14:N18 P13:Q18" xr:uid="{00000000-0002-0000-5B00-000000000000}"/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Sheet93"/>
  <dimension ref="A1:V74"/>
  <sheetViews>
    <sheetView topLeftCell="E1" zoomScale="56" workbookViewId="0">
      <selection activeCell="P33" sqref="P3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4" width="15.28515625" style="3" bestFit="1" customWidth="1"/>
    <col min="5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ht="15.75" thickBot="1" x14ac:dyDescent="0.3">
      <c r="A1" s="6" t="s">
        <v>52</v>
      </c>
      <c r="B1" s="142" t="s">
        <v>622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/>
      <c r="D13" s="92">
        <v>2750000</v>
      </c>
      <c r="E13" s="167">
        <v>4000000</v>
      </c>
      <c r="F13" s="92">
        <v>4000000</v>
      </c>
      <c r="G13" s="92">
        <v>4000000</v>
      </c>
      <c r="H13" s="92">
        <v>4100000</v>
      </c>
      <c r="I13" s="92">
        <v>4100000</v>
      </c>
      <c r="J13" s="92">
        <v>4000000</v>
      </c>
      <c r="K13" s="92">
        <v>4050000</v>
      </c>
      <c r="L13" s="92">
        <v>4050000</v>
      </c>
      <c r="M13" s="92">
        <v>4250000</v>
      </c>
      <c r="N13" s="92">
        <v>4050000</v>
      </c>
      <c r="O13" s="32">
        <f>SUM(C13:N13)</f>
        <v>43350000</v>
      </c>
      <c r="P13" s="123">
        <f t="shared" ref="P13:P18" si="1">Q13</f>
        <v>48000000</v>
      </c>
      <c r="Q13" s="123">
        <f>F13*12</f>
        <v>48000000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>
        <v>150000</v>
      </c>
      <c r="K16" s="92"/>
      <c r="L16" s="92"/>
      <c r="M16" s="92"/>
      <c r="N16" s="92"/>
      <c r="O16" s="32">
        <f>SUM(C16:N16)</f>
        <v>150000</v>
      </c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0</v>
      </c>
      <c r="D19" s="37">
        <f>SUM(D13:D18)</f>
        <v>2750000</v>
      </c>
      <c r="E19" s="37">
        <f t="shared" ref="E19:N19" si="3">SUM(E13:E18)</f>
        <v>4000000</v>
      </c>
      <c r="F19" s="37">
        <f t="shared" si="3"/>
        <v>4000000</v>
      </c>
      <c r="G19" s="37">
        <f t="shared" si="3"/>
        <v>4000000</v>
      </c>
      <c r="H19" s="37">
        <f t="shared" si="3"/>
        <v>4100000</v>
      </c>
      <c r="I19" s="37">
        <f t="shared" si="3"/>
        <v>4100000</v>
      </c>
      <c r="J19" s="37">
        <f t="shared" si="3"/>
        <v>4150000</v>
      </c>
      <c r="K19" s="37">
        <f t="shared" si="3"/>
        <v>4050000</v>
      </c>
      <c r="L19" s="37">
        <f t="shared" si="3"/>
        <v>4050000</v>
      </c>
      <c r="M19" s="37">
        <f t="shared" si="3"/>
        <v>4250000</v>
      </c>
      <c r="N19" s="37">
        <f t="shared" si="3"/>
        <v>4050000</v>
      </c>
      <c r="O19" s="38">
        <f>SUM(O13:O18)</f>
        <v>43500000</v>
      </c>
      <c r="P19" s="103">
        <f>SUM(P13:P18)</f>
        <v>48000000</v>
      </c>
      <c r="Q19" s="103">
        <f>SUM(Q13:Q18)</f>
        <v>48000000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2000000</v>
      </c>
      <c r="P20" s="110">
        <v>2000000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0</v>
      </c>
      <c r="D21" s="259">
        <f t="shared" ref="D21:N21" si="4">D19+D20</f>
        <v>2750000</v>
      </c>
      <c r="E21" s="259">
        <f t="shared" si="4"/>
        <v>4000000</v>
      </c>
      <c r="F21" s="259">
        <f t="shared" si="4"/>
        <v>4000000</v>
      </c>
      <c r="G21" s="259">
        <f>G19+G20</f>
        <v>4000000</v>
      </c>
      <c r="H21" s="259">
        <f t="shared" si="4"/>
        <v>4100000</v>
      </c>
      <c r="I21" s="259">
        <f t="shared" si="4"/>
        <v>4100000</v>
      </c>
      <c r="J21" s="259">
        <f t="shared" si="4"/>
        <v>4150000</v>
      </c>
      <c r="K21" s="259">
        <f t="shared" si="4"/>
        <v>4050000</v>
      </c>
      <c r="L21" s="259">
        <f t="shared" si="4"/>
        <v>4050000</v>
      </c>
      <c r="M21" s="259">
        <f t="shared" si="4"/>
        <v>4250000</v>
      </c>
      <c r="N21" s="259">
        <f t="shared" si="4"/>
        <v>4050000</v>
      </c>
      <c r="O21" s="259">
        <f>O19+O20</f>
        <v>45500000</v>
      </c>
      <c r="P21" s="103">
        <f>P19+P20</f>
        <v>50000000</v>
      </c>
      <c r="Q21" s="103">
        <f>Q19+Q20</f>
        <v>48000000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0</v>
      </c>
      <c r="D23" s="257">
        <f t="shared" ref="D23:O23" si="5">IF(D21*5%&lt;500000,D21*5%,500000)</f>
        <v>137500</v>
      </c>
      <c r="E23" s="257">
        <f t="shared" si="5"/>
        <v>200000</v>
      </c>
      <c r="F23" s="257">
        <f t="shared" si="5"/>
        <v>200000</v>
      </c>
      <c r="G23" s="257">
        <f>IF(G21*5%&lt;500000,G21*5%,500000)</f>
        <v>200000</v>
      </c>
      <c r="H23" s="257">
        <f t="shared" si="5"/>
        <v>205000</v>
      </c>
      <c r="I23" s="257">
        <f t="shared" si="5"/>
        <v>205000</v>
      </c>
      <c r="J23" s="257">
        <f t="shared" si="5"/>
        <v>207500</v>
      </c>
      <c r="K23" s="257">
        <f t="shared" si="5"/>
        <v>202500</v>
      </c>
      <c r="L23" s="257">
        <f t="shared" si="5"/>
        <v>202500</v>
      </c>
      <c r="M23" s="257">
        <f t="shared" si="5"/>
        <v>212500</v>
      </c>
      <c r="N23" s="257">
        <f t="shared" si="5"/>
        <v>202500</v>
      </c>
      <c r="O23" s="257">
        <f>IF(O21*5%&lt;6000000,O21*5%,6000000)</f>
        <v>2275000</v>
      </c>
      <c r="P23" s="110">
        <f>IF(P21*5%&lt;6000000,P21*5%,6000000)</f>
        <v>2500000</v>
      </c>
      <c r="Q23" s="110">
        <f>IF(Q21*5%&lt;6000000,Q21*5%,6000000)</f>
        <v>2400000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0</v>
      </c>
      <c r="D26" s="257">
        <f t="shared" si="6"/>
        <v>137500</v>
      </c>
      <c r="E26" s="257">
        <f t="shared" si="6"/>
        <v>200000</v>
      </c>
      <c r="F26" s="257">
        <f t="shared" si="6"/>
        <v>200000</v>
      </c>
      <c r="G26" s="257">
        <f>SUM(G23:G25)</f>
        <v>200000</v>
      </c>
      <c r="H26" s="257">
        <f t="shared" si="6"/>
        <v>205000</v>
      </c>
      <c r="I26" s="257">
        <f t="shared" si="6"/>
        <v>205000</v>
      </c>
      <c r="J26" s="257">
        <f t="shared" si="6"/>
        <v>207500</v>
      </c>
      <c r="K26" s="257">
        <f t="shared" si="6"/>
        <v>202500</v>
      </c>
      <c r="L26" s="257">
        <f t="shared" si="6"/>
        <v>202500</v>
      </c>
      <c r="M26" s="257">
        <f t="shared" si="6"/>
        <v>212500</v>
      </c>
      <c r="N26" s="257">
        <f t="shared" si="6"/>
        <v>202500</v>
      </c>
      <c r="O26" s="263">
        <f>SUM(O22:O25)</f>
        <v>2275000</v>
      </c>
      <c r="P26" s="103">
        <f>SUM(P23:P25)</f>
        <v>2500000</v>
      </c>
      <c r="Q26" s="103">
        <f>SUM(Q23:Q25)</f>
        <v>2400000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0</v>
      </c>
      <c r="D28" s="255">
        <f t="shared" ref="D28:O28" si="7">D21-D26</f>
        <v>2612500</v>
      </c>
      <c r="E28" s="255">
        <f t="shared" si="7"/>
        <v>3800000</v>
      </c>
      <c r="F28" s="255">
        <f t="shared" si="7"/>
        <v>3800000</v>
      </c>
      <c r="G28" s="255">
        <f>G21-G26</f>
        <v>3800000</v>
      </c>
      <c r="H28" s="255">
        <f t="shared" si="7"/>
        <v>3895000</v>
      </c>
      <c r="I28" s="255">
        <f t="shared" si="7"/>
        <v>3895000</v>
      </c>
      <c r="J28" s="255">
        <f t="shared" si="7"/>
        <v>3942500</v>
      </c>
      <c r="K28" s="255">
        <f t="shared" si="7"/>
        <v>3847500</v>
      </c>
      <c r="L28" s="255">
        <f t="shared" si="7"/>
        <v>3847500</v>
      </c>
      <c r="M28" s="255">
        <f t="shared" si="7"/>
        <v>4037500</v>
      </c>
      <c r="N28" s="255">
        <f t="shared" si="7"/>
        <v>3847500</v>
      </c>
      <c r="O28" s="255">
        <f t="shared" si="7"/>
        <v>43225000</v>
      </c>
      <c r="P28" s="103">
        <f>P21-P26</f>
        <v>47500000</v>
      </c>
      <c r="Q28" s="103">
        <f>Q21-Q26</f>
        <v>45600000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0</v>
      </c>
      <c r="D30" s="253">
        <f>SUM(C28:D28)*D10/D11</f>
        <v>15675000</v>
      </c>
      <c r="E30" s="253">
        <f>SUM(C28:E28)*E10/E11</f>
        <v>25650000</v>
      </c>
      <c r="F30" s="253">
        <f>SUM(C28:F28)*F10/F11</f>
        <v>30637500</v>
      </c>
      <c r="G30" s="253">
        <f>SUM(C28:G28)*G10/G11</f>
        <v>33630000</v>
      </c>
      <c r="H30" s="253">
        <f>SUM(C28:H28)*H10/H11</f>
        <v>35815000</v>
      </c>
      <c r="I30" s="253">
        <f>SUM(C28:I28)*I10/I11</f>
        <v>37375714.285714284</v>
      </c>
      <c r="J30" s="253">
        <f>SUM(C28:J28)*J10/J11</f>
        <v>38617500</v>
      </c>
      <c r="K30" s="253">
        <f>SUM(C28:K28)*K10/K11</f>
        <v>39456666.666666664</v>
      </c>
      <c r="L30" s="253">
        <f>SUM(C28:L28)*L10/L11</f>
        <v>40128000</v>
      </c>
      <c r="M30" s="253">
        <f>SUM(C28:M28)*M10/M11</f>
        <v>40884545.454545453</v>
      </c>
      <c r="N30" s="253">
        <f>SUM(C28:N28)*N10/N11</f>
        <v>41325000</v>
      </c>
      <c r="O30" s="254">
        <f>O28</f>
        <v>43225000</v>
      </c>
      <c r="P30" s="108">
        <f>P28</f>
        <v>47500000</v>
      </c>
      <c r="Q30" s="108">
        <f>Q28</f>
        <v>45600000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0</v>
      </c>
      <c r="D41" s="50">
        <f t="shared" si="14"/>
        <v>2750000</v>
      </c>
      <c r="E41" s="50">
        <f t="shared" si="14"/>
        <v>4000000</v>
      </c>
      <c r="F41" s="50">
        <f t="shared" si="14"/>
        <v>4000000</v>
      </c>
      <c r="G41" s="50">
        <f t="shared" si="14"/>
        <v>4000000</v>
      </c>
      <c r="H41" s="50">
        <f t="shared" si="14"/>
        <v>4100000</v>
      </c>
      <c r="I41" s="50">
        <f t="shared" si="14"/>
        <v>4100000</v>
      </c>
      <c r="J41" s="50">
        <f t="shared" si="14"/>
        <v>4150000</v>
      </c>
      <c r="K41" s="50">
        <f>K21-K25-K36</f>
        <v>4050000</v>
      </c>
      <c r="L41" s="50">
        <f>L21-L25-L36</f>
        <v>4050000</v>
      </c>
      <c r="M41" s="50">
        <f>M21-M25-M36</f>
        <v>4250000</v>
      </c>
      <c r="N41" s="50">
        <f>N21-N25-N36</f>
        <v>4050000</v>
      </c>
      <c r="O41" s="50">
        <f>O21-O25-O36-O38</f>
        <v>45500000</v>
      </c>
      <c r="P41" s="126">
        <f>P21-P25-P36</f>
        <v>50000000</v>
      </c>
      <c r="Q41" s="126">
        <f>Q21-Q25-Q36</f>
        <v>48000000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  <row r="63" spans="2:17" x14ac:dyDescent="0.25">
      <c r="D63" s="157">
        <v>835241686.27999997</v>
      </c>
    </row>
    <row r="64" spans="2:17" x14ac:dyDescent="0.25">
      <c r="D64" s="157">
        <v>724991686.27999997</v>
      </c>
    </row>
    <row r="66" spans="3:4" x14ac:dyDescent="0.25">
      <c r="D66" s="158">
        <f>D63-D64</f>
        <v>110250000</v>
      </c>
    </row>
    <row r="67" spans="3:4" x14ac:dyDescent="0.25">
      <c r="C67" s="157"/>
    </row>
    <row r="68" spans="3:4" x14ac:dyDescent="0.25">
      <c r="C68" s="157"/>
      <c r="D68" s="157">
        <v>110250000</v>
      </c>
    </row>
    <row r="69" spans="3:4" x14ac:dyDescent="0.25">
      <c r="C69" s="157"/>
    </row>
    <row r="70" spans="3:4" x14ac:dyDescent="0.25">
      <c r="C70" s="157"/>
    </row>
    <row r="71" spans="3:4" x14ac:dyDescent="0.25">
      <c r="C71" s="157"/>
    </row>
    <row r="72" spans="3:4" x14ac:dyDescent="0.25">
      <c r="C72" s="157"/>
    </row>
    <row r="73" spans="3:4" x14ac:dyDescent="0.25">
      <c r="C73" s="157"/>
    </row>
    <row r="74" spans="3:4" x14ac:dyDescent="0.25">
      <c r="C74" s="157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5C00-000000000000}"/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Sheet94"/>
  <dimension ref="A1:V74"/>
  <sheetViews>
    <sheetView topLeftCell="C1" zoomScale="53" workbookViewId="0">
      <selection activeCell="P33" sqref="P3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4" width="15.28515625" style="3" bestFit="1" customWidth="1"/>
    <col min="5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ht="15.75" thickBot="1" x14ac:dyDescent="0.3">
      <c r="A1" s="6" t="s">
        <v>52</v>
      </c>
      <c r="B1" s="142" t="s">
        <v>623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/>
      <c r="D13" s="92">
        <v>1363636.36363636</v>
      </c>
      <c r="E13" s="162">
        <v>2000000</v>
      </c>
      <c r="F13" s="92">
        <v>2000000</v>
      </c>
      <c r="G13" s="92">
        <v>2000000</v>
      </c>
      <c r="H13" s="92">
        <v>2100000</v>
      </c>
      <c r="I13" s="92">
        <v>2150000</v>
      </c>
      <c r="J13" s="92">
        <v>2000000</v>
      </c>
      <c r="K13" s="92">
        <v>3050000</v>
      </c>
      <c r="L13" s="92">
        <v>3050000</v>
      </c>
      <c r="M13" s="92">
        <v>3000000</v>
      </c>
      <c r="N13" s="92">
        <v>3150000</v>
      </c>
      <c r="O13" s="32">
        <f>SUM(C13:N13)</f>
        <v>25863636.36363636</v>
      </c>
      <c r="P13" s="123">
        <f t="shared" ref="P13:P18" si="1">Q13</f>
        <v>24000000</v>
      </c>
      <c r="Q13" s="123">
        <f>F13*12</f>
        <v>24000000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>
        <v>100000</v>
      </c>
      <c r="K16" s="92"/>
      <c r="L16" s="92"/>
      <c r="M16" s="92"/>
      <c r="N16" s="92"/>
      <c r="O16" s="32">
        <f>SUM(C16:N16)</f>
        <v>100000</v>
      </c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0</v>
      </c>
      <c r="D19" s="37">
        <f>SUM(D13:D18)</f>
        <v>1363636.36363636</v>
      </c>
      <c r="E19" s="37">
        <f t="shared" ref="E19:N19" si="3">SUM(E13:E18)</f>
        <v>2000000</v>
      </c>
      <c r="F19" s="37">
        <f t="shared" si="3"/>
        <v>2000000</v>
      </c>
      <c r="G19" s="37">
        <f t="shared" si="3"/>
        <v>2000000</v>
      </c>
      <c r="H19" s="37">
        <f t="shared" si="3"/>
        <v>2100000</v>
      </c>
      <c r="I19" s="37">
        <f t="shared" si="3"/>
        <v>2150000</v>
      </c>
      <c r="J19" s="37">
        <f t="shared" si="3"/>
        <v>2100000</v>
      </c>
      <c r="K19" s="37">
        <f t="shared" si="3"/>
        <v>3050000</v>
      </c>
      <c r="L19" s="37">
        <f t="shared" si="3"/>
        <v>3050000</v>
      </c>
      <c r="M19" s="37">
        <f t="shared" si="3"/>
        <v>3000000</v>
      </c>
      <c r="N19" s="37">
        <f t="shared" si="3"/>
        <v>3150000</v>
      </c>
      <c r="O19" s="38">
        <f>SUM(O13:O18)</f>
        <v>25963636.36363636</v>
      </c>
      <c r="P19" s="103">
        <f>SUM(P13:P18)</f>
        <v>24000000</v>
      </c>
      <c r="Q19" s="103">
        <f>SUM(Q13:Q18)</f>
        <v>24000000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2000000</v>
      </c>
      <c r="P20" s="110">
        <v>2000000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0</v>
      </c>
      <c r="D21" s="259">
        <f t="shared" ref="D21:N21" si="4">D19+D20</f>
        <v>1363636.36363636</v>
      </c>
      <c r="E21" s="259">
        <f t="shared" si="4"/>
        <v>2000000</v>
      </c>
      <c r="F21" s="259">
        <f t="shared" si="4"/>
        <v>2000000</v>
      </c>
      <c r="G21" s="259">
        <f>G19+G20</f>
        <v>2000000</v>
      </c>
      <c r="H21" s="259">
        <f t="shared" si="4"/>
        <v>2100000</v>
      </c>
      <c r="I21" s="259">
        <f t="shared" si="4"/>
        <v>2150000</v>
      </c>
      <c r="J21" s="259">
        <f t="shared" si="4"/>
        <v>2100000</v>
      </c>
      <c r="K21" s="259">
        <f t="shared" si="4"/>
        <v>3050000</v>
      </c>
      <c r="L21" s="259">
        <f t="shared" si="4"/>
        <v>3050000</v>
      </c>
      <c r="M21" s="259">
        <f t="shared" si="4"/>
        <v>3000000</v>
      </c>
      <c r="N21" s="259">
        <f t="shared" si="4"/>
        <v>3150000</v>
      </c>
      <c r="O21" s="259">
        <f>O19+O20</f>
        <v>27963636.36363636</v>
      </c>
      <c r="P21" s="103">
        <f>P19+P20</f>
        <v>26000000</v>
      </c>
      <c r="Q21" s="103">
        <f>Q19+Q20</f>
        <v>24000000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0</v>
      </c>
      <c r="D23" s="257">
        <f t="shared" ref="D23:O23" si="5">IF(D21*5%&lt;500000,D21*5%,500000)</f>
        <v>68181.818181818002</v>
      </c>
      <c r="E23" s="257">
        <f t="shared" si="5"/>
        <v>100000</v>
      </c>
      <c r="F23" s="257">
        <f t="shared" si="5"/>
        <v>100000</v>
      </c>
      <c r="G23" s="257">
        <f>IF(G21*5%&lt;500000,G21*5%,500000)</f>
        <v>100000</v>
      </c>
      <c r="H23" s="257">
        <f t="shared" si="5"/>
        <v>105000</v>
      </c>
      <c r="I23" s="257">
        <f t="shared" si="5"/>
        <v>107500</v>
      </c>
      <c r="J23" s="257">
        <f t="shared" si="5"/>
        <v>105000</v>
      </c>
      <c r="K23" s="257">
        <f t="shared" si="5"/>
        <v>152500</v>
      </c>
      <c r="L23" s="257">
        <f t="shared" si="5"/>
        <v>152500</v>
      </c>
      <c r="M23" s="257">
        <f t="shared" si="5"/>
        <v>150000</v>
      </c>
      <c r="N23" s="257">
        <f t="shared" si="5"/>
        <v>157500</v>
      </c>
      <c r="O23" s="257">
        <f>IF(O21*5%&lt;6000000,O21*5%,6000000)</f>
        <v>1398181.8181818181</v>
      </c>
      <c r="P23" s="110">
        <f>IF(P21*5%&lt;6000000,P21*5%,6000000)</f>
        <v>1300000</v>
      </c>
      <c r="Q23" s="110">
        <f>IF(Q21*5%&lt;6000000,Q21*5%,6000000)</f>
        <v>1200000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0</v>
      </c>
      <c r="D26" s="257">
        <f t="shared" si="6"/>
        <v>68181.818181818002</v>
      </c>
      <c r="E26" s="257">
        <f t="shared" si="6"/>
        <v>100000</v>
      </c>
      <c r="F26" s="257">
        <f t="shared" si="6"/>
        <v>100000</v>
      </c>
      <c r="G26" s="257">
        <f>SUM(G23:G25)</f>
        <v>100000</v>
      </c>
      <c r="H26" s="257">
        <f t="shared" si="6"/>
        <v>105000</v>
      </c>
      <c r="I26" s="257">
        <f t="shared" si="6"/>
        <v>107500</v>
      </c>
      <c r="J26" s="257">
        <f t="shared" si="6"/>
        <v>105000</v>
      </c>
      <c r="K26" s="257">
        <f t="shared" si="6"/>
        <v>152500</v>
      </c>
      <c r="L26" s="257">
        <f t="shared" si="6"/>
        <v>152500</v>
      </c>
      <c r="M26" s="257">
        <f t="shared" si="6"/>
        <v>150000</v>
      </c>
      <c r="N26" s="257">
        <f t="shared" si="6"/>
        <v>157500</v>
      </c>
      <c r="O26" s="263">
        <f>SUM(O22:O25)</f>
        <v>1398181.8181818181</v>
      </c>
      <c r="P26" s="103">
        <f>SUM(P23:P25)</f>
        <v>1300000</v>
      </c>
      <c r="Q26" s="103">
        <f>SUM(Q23:Q25)</f>
        <v>1200000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0</v>
      </c>
      <c r="D28" s="255">
        <f t="shared" ref="D28:O28" si="7">D21-D26</f>
        <v>1295454.5454545422</v>
      </c>
      <c r="E28" s="255">
        <f t="shared" si="7"/>
        <v>1900000</v>
      </c>
      <c r="F28" s="255">
        <f t="shared" si="7"/>
        <v>1900000</v>
      </c>
      <c r="G28" s="255">
        <f>G21-G26</f>
        <v>1900000</v>
      </c>
      <c r="H28" s="255">
        <f t="shared" si="7"/>
        <v>1995000</v>
      </c>
      <c r="I28" s="255">
        <f t="shared" si="7"/>
        <v>2042500</v>
      </c>
      <c r="J28" s="255">
        <f t="shared" si="7"/>
        <v>1995000</v>
      </c>
      <c r="K28" s="255">
        <f t="shared" si="7"/>
        <v>2897500</v>
      </c>
      <c r="L28" s="255">
        <f t="shared" si="7"/>
        <v>2897500</v>
      </c>
      <c r="M28" s="255">
        <f t="shared" si="7"/>
        <v>2850000</v>
      </c>
      <c r="N28" s="255">
        <f t="shared" si="7"/>
        <v>2992500</v>
      </c>
      <c r="O28" s="255">
        <f t="shared" si="7"/>
        <v>26565454.545454543</v>
      </c>
      <c r="P28" s="103">
        <f>P21-P26</f>
        <v>24700000</v>
      </c>
      <c r="Q28" s="103">
        <f>Q21-Q26</f>
        <v>22800000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0</v>
      </c>
      <c r="D30" s="253">
        <f>SUM(C28:D28)*D10/D11</f>
        <v>7772727.2727272529</v>
      </c>
      <c r="E30" s="253">
        <f>SUM(C28:E28)*E10/E11</f>
        <v>12781818.181818167</v>
      </c>
      <c r="F30" s="253">
        <f>SUM(C28:F28)*F10/F11</f>
        <v>15286363.636363626</v>
      </c>
      <c r="G30" s="253">
        <f>SUM(C28:G28)*G10/G11</f>
        <v>16789090.909090899</v>
      </c>
      <c r="H30" s="253">
        <f>SUM(C28:H28)*H10/H11</f>
        <v>17980909.090909086</v>
      </c>
      <c r="I30" s="253">
        <f>SUM(C28:I28)*I10/I11</f>
        <v>18913636.36363636</v>
      </c>
      <c r="J30" s="253">
        <f>SUM(C28:J28)*J10/J11</f>
        <v>19541931.818181813</v>
      </c>
      <c r="K30" s="253">
        <f>SUM(C28:K28)*K10/K11</f>
        <v>21233939.393939391</v>
      </c>
      <c r="L30" s="253">
        <f>SUM(C28:L28)*L10/L11</f>
        <v>22587545.454545449</v>
      </c>
      <c r="M30" s="253">
        <f>SUM(C28:M28)*M10/M11</f>
        <v>23643223.140495863</v>
      </c>
      <c r="N30" s="253">
        <f>SUM(C28:N28)*N10/N11</f>
        <v>24665454.545454543</v>
      </c>
      <c r="O30" s="254">
        <f>O28</f>
        <v>26565454.545454543</v>
      </c>
      <c r="P30" s="108">
        <f>P28</f>
        <v>24700000</v>
      </c>
      <c r="Q30" s="108">
        <f>Q28</f>
        <v>22800000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0</v>
      </c>
      <c r="D31" s="255">
        <f t="shared" si="8"/>
        <v>54000000</v>
      </c>
      <c r="E31" s="255">
        <f t="shared" si="8"/>
        <v>54000000</v>
      </c>
      <c r="F31" s="255">
        <f t="shared" si="8"/>
        <v>54000000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0</v>
      </c>
      <c r="D41" s="50">
        <f t="shared" si="14"/>
        <v>1363636.36363636</v>
      </c>
      <c r="E41" s="50">
        <f t="shared" si="14"/>
        <v>2000000</v>
      </c>
      <c r="F41" s="50">
        <f t="shared" si="14"/>
        <v>2000000</v>
      </c>
      <c r="G41" s="50">
        <f t="shared" si="14"/>
        <v>2000000</v>
      </c>
      <c r="H41" s="50">
        <f t="shared" si="14"/>
        <v>2100000</v>
      </c>
      <c r="I41" s="50">
        <f t="shared" si="14"/>
        <v>2150000</v>
      </c>
      <c r="J41" s="50">
        <f t="shared" si="14"/>
        <v>2100000</v>
      </c>
      <c r="K41" s="50">
        <f>K21-K25-K36</f>
        <v>3050000</v>
      </c>
      <c r="L41" s="50">
        <f>L21-L25-L36</f>
        <v>3050000</v>
      </c>
      <c r="M41" s="50">
        <f>M21-M25-M36</f>
        <v>3000000</v>
      </c>
      <c r="N41" s="50">
        <f>N21-N25-N36</f>
        <v>3150000</v>
      </c>
      <c r="O41" s="50">
        <f>O21-O25-O36-O38</f>
        <v>27963636.36363636</v>
      </c>
      <c r="P41" s="126">
        <f>P21-P25-P36</f>
        <v>26000000</v>
      </c>
      <c r="Q41" s="126">
        <f>Q21-Q25-Q36</f>
        <v>24000000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  <row r="63" spans="2:17" x14ac:dyDescent="0.25">
      <c r="D63" s="157">
        <v>835241686.27999997</v>
      </c>
    </row>
    <row r="64" spans="2:17" x14ac:dyDescent="0.25">
      <c r="D64" s="157">
        <v>724991686.27999997</v>
      </c>
    </row>
    <row r="66" spans="3:4" x14ac:dyDescent="0.25">
      <c r="D66" s="158">
        <f>D63-D64</f>
        <v>110250000</v>
      </c>
    </row>
    <row r="67" spans="3:4" x14ac:dyDescent="0.25">
      <c r="C67" s="157"/>
    </row>
    <row r="68" spans="3:4" x14ac:dyDescent="0.25">
      <c r="C68" s="157"/>
      <c r="D68" s="157">
        <v>110250000</v>
      </c>
    </row>
    <row r="69" spans="3:4" x14ac:dyDescent="0.25">
      <c r="C69" s="157"/>
    </row>
    <row r="70" spans="3:4" x14ac:dyDescent="0.25">
      <c r="C70" s="157"/>
    </row>
    <row r="71" spans="3:4" x14ac:dyDescent="0.25">
      <c r="C71" s="157"/>
    </row>
    <row r="72" spans="3:4" x14ac:dyDescent="0.25">
      <c r="C72" s="157"/>
    </row>
    <row r="73" spans="3:4" x14ac:dyDescent="0.25">
      <c r="C73" s="157"/>
    </row>
    <row r="74" spans="3:4" x14ac:dyDescent="0.25">
      <c r="C74" s="157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5D00-000000000000}"/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DCD6-AF50-4E8C-B7D6-0CD149917E3B}">
  <dimension ref="A1:V74"/>
  <sheetViews>
    <sheetView topLeftCell="C1" zoomScale="60" workbookViewId="0">
      <selection activeCell="P33" sqref="P3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4" width="15.28515625" style="3" bestFit="1" customWidth="1"/>
    <col min="5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ht="15.75" thickBot="1" x14ac:dyDescent="0.3">
      <c r="A1" s="6" t="s">
        <v>52</v>
      </c>
      <c r="B1" s="142" t="s">
        <v>654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/>
      <c r="D13" s="92"/>
      <c r="E13" s="162"/>
      <c r="F13" s="92"/>
      <c r="G13" s="92">
        <v>272724</v>
      </c>
      <c r="H13" s="92">
        <v>204543</v>
      </c>
      <c r="I13" s="92">
        <v>545448</v>
      </c>
      <c r="J13" s="92">
        <v>409086</v>
      </c>
      <c r="K13" s="92">
        <v>955000</v>
      </c>
      <c r="L13" s="92">
        <v>955000</v>
      </c>
      <c r="M13" s="92">
        <v>0</v>
      </c>
      <c r="N13" s="92">
        <v>0</v>
      </c>
      <c r="O13" s="32">
        <f>SUM(C13:N13)</f>
        <v>3341801</v>
      </c>
      <c r="P13" s="123">
        <f t="shared" ref="P13:P18" si="1">Q13</f>
        <v>0</v>
      </c>
      <c r="Q13" s="123">
        <f>F13*12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0</v>
      </c>
      <c r="D19" s="37">
        <f>SUM(D13:D18)</f>
        <v>0</v>
      </c>
      <c r="E19" s="37">
        <f t="shared" ref="E19:N19" si="3">SUM(E13:E18)</f>
        <v>0</v>
      </c>
      <c r="F19" s="37">
        <f t="shared" si="3"/>
        <v>0</v>
      </c>
      <c r="G19" s="37">
        <f t="shared" si="3"/>
        <v>272724</v>
      </c>
      <c r="H19" s="37">
        <f t="shared" si="3"/>
        <v>204543</v>
      </c>
      <c r="I19" s="37">
        <f t="shared" si="3"/>
        <v>545448</v>
      </c>
      <c r="J19" s="37">
        <f t="shared" si="3"/>
        <v>409086</v>
      </c>
      <c r="K19" s="37">
        <f t="shared" si="3"/>
        <v>955000</v>
      </c>
      <c r="L19" s="37">
        <f t="shared" si="3"/>
        <v>955000</v>
      </c>
      <c r="M19" s="37">
        <f t="shared" si="3"/>
        <v>0</v>
      </c>
      <c r="N19" s="37">
        <f t="shared" si="3"/>
        <v>0</v>
      </c>
      <c r="O19" s="38">
        <f>SUM(O13:O18)</f>
        <v>3341801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0</v>
      </c>
      <c r="D21" s="259">
        <f t="shared" ref="D21:N21" si="4">D19+D20</f>
        <v>0</v>
      </c>
      <c r="E21" s="259">
        <f t="shared" si="4"/>
        <v>0</v>
      </c>
      <c r="F21" s="259">
        <f t="shared" si="4"/>
        <v>0</v>
      </c>
      <c r="G21" s="259">
        <f>G19+G20</f>
        <v>272724</v>
      </c>
      <c r="H21" s="259">
        <f t="shared" si="4"/>
        <v>204543</v>
      </c>
      <c r="I21" s="259">
        <f t="shared" si="4"/>
        <v>545448</v>
      </c>
      <c r="J21" s="259">
        <f t="shared" si="4"/>
        <v>409086</v>
      </c>
      <c r="K21" s="259">
        <f t="shared" si="4"/>
        <v>955000</v>
      </c>
      <c r="L21" s="259">
        <f t="shared" si="4"/>
        <v>955000</v>
      </c>
      <c r="M21" s="259">
        <f t="shared" si="4"/>
        <v>0</v>
      </c>
      <c r="N21" s="259">
        <f t="shared" si="4"/>
        <v>0</v>
      </c>
      <c r="O21" s="259">
        <f>O19+O20</f>
        <v>3341801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0</v>
      </c>
      <c r="D23" s="257">
        <f t="shared" ref="D23:O23" si="5">IF(D21*5%&lt;500000,D21*5%,500000)</f>
        <v>0</v>
      </c>
      <c r="E23" s="257">
        <f t="shared" si="5"/>
        <v>0</v>
      </c>
      <c r="F23" s="257">
        <f t="shared" si="5"/>
        <v>0</v>
      </c>
      <c r="G23" s="257">
        <f>IF(G21*5%&lt;500000,G21*5%,500000)</f>
        <v>13636.2</v>
      </c>
      <c r="H23" s="257">
        <f t="shared" si="5"/>
        <v>10227.150000000001</v>
      </c>
      <c r="I23" s="257">
        <f t="shared" si="5"/>
        <v>27272.400000000001</v>
      </c>
      <c r="J23" s="257">
        <f t="shared" si="5"/>
        <v>20454.300000000003</v>
      </c>
      <c r="K23" s="257">
        <f t="shared" si="5"/>
        <v>47750</v>
      </c>
      <c r="L23" s="257">
        <f t="shared" si="5"/>
        <v>47750</v>
      </c>
      <c r="M23" s="257">
        <f t="shared" si="5"/>
        <v>0</v>
      </c>
      <c r="N23" s="257">
        <f t="shared" si="5"/>
        <v>0</v>
      </c>
      <c r="O23" s="257">
        <f>IF(O21*5%&lt;6000000,O21*5%,6000000)</f>
        <v>167090.05000000002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0</v>
      </c>
      <c r="D26" s="257">
        <f t="shared" si="6"/>
        <v>0</v>
      </c>
      <c r="E26" s="257">
        <f t="shared" si="6"/>
        <v>0</v>
      </c>
      <c r="F26" s="257">
        <f t="shared" si="6"/>
        <v>0</v>
      </c>
      <c r="G26" s="257">
        <f>SUM(G23:G25)</f>
        <v>13636.2</v>
      </c>
      <c r="H26" s="257">
        <f t="shared" si="6"/>
        <v>10227.150000000001</v>
      </c>
      <c r="I26" s="257">
        <f t="shared" si="6"/>
        <v>27272.400000000001</v>
      </c>
      <c r="J26" s="257">
        <f t="shared" si="6"/>
        <v>20454.300000000003</v>
      </c>
      <c r="K26" s="257">
        <f t="shared" si="6"/>
        <v>47750</v>
      </c>
      <c r="L26" s="257">
        <f t="shared" si="6"/>
        <v>47750</v>
      </c>
      <c r="M26" s="257">
        <f t="shared" si="6"/>
        <v>0</v>
      </c>
      <c r="N26" s="257">
        <f t="shared" si="6"/>
        <v>0</v>
      </c>
      <c r="O26" s="263">
        <f>SUM(O22:O25)</f>
        <v>167090.05000000002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0</v>
      </c>
      <c r="D28" s="255">
        <f t="shared" ref="D28:O28" si="7">D21-D26</f>
        <v>0</v>
      </c>
      <c r="E28" s="255">
        <f t="shared" si="7"/>
        <v>0</v>
      </c>
      <c r="F28" s="255">
        <f t="shared" si="7"/>
        <v>0</v>
      </c>
      <c r="G28" s="255">
        <f>G21-G26</f>
        <v>259087.8</v>
      </c>
      <c r="H28" s="255">
        <f t="shared" si="7"/>
        <v>194315.85</v>
      </c>
      <c r="I28" s="255">
        <f t="shared" si="7"/>
        <v>518175.6</v>
      </c>
      <c r="J28" s="255">
        <f t="shared" si="7"/>
        <v>388631.7</v>
      </c>
      <c r="K28" s="255">
        <f t="shared" si="7"/>
        <v>907250</v>
      </c>
      <c r="L28" s="255">
        <f t="shared" si="7"/>
        <v>907250</v>
      </c>
      <c r="M28" s="255">
        <f t="shared" si="7"/>
        <v>0</v>
      </c>
      <c r="N28" s="255">
        <f t="shared" si="7"/>
        <v>0</v>
      </c>
      <c r="O28" s="255">
        <f t="shared" si="7"/>
        <v>3174710.95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0</v>
      </c>
      <c r="D30" s="253">
        <f>SUM(C28:D28)*D10/D11</f>
        <v>0</v>
      </c>
      <c r="E30" s="253">
        <f>SUM(C28:E28)*E10/E11</f>
        <v>0</v>
      </c>
      <c r="F30" s="253">
        <f>SUM(C28:F28)*F10/F11</f>
        <v>0</v>
      </c>
      <c r="G30" s="253">
        <f>SUM(C28:G28)*G10/G11</f>
        <v>621810.72</v>
      </c>
      <c r="H30" s="253">
        <f>SUM(C28:H28)*H10/H11</f>
        <v>906807.30000000016</v>
      </c>
      <c r="I30" s="253">
        <f>SUM(C28:I28)*I10/I11</f>
        <v>1665564.4285714286</v>
      </c>
      <c r="J30" s="253">
        <f>SUM(C28:J28)*J10/J11</f>
        <v>2040316.4249999998</v>
      </c>
      <c r="K30" s="253">
        <f>SUM(C28:K28)*K10/K11</f>
        <v>3023281.2666666671</v>
      </c>
      <c r="L30" s="253">
        <f>SUM(C28:L28)*L10/L11</f>
        <v>3809653.1400000006</v>
      </c>
      <c r="M30" s="253">
        <f>SUM(C28:M28)*M10/M11</f>
        <v>3463321.0363636371</v>
      </c>
      <c r="N30" s="253">
        <f>SUM(C28:N28)*N10/N11</f>
        <v>3174710.9500000007</v>
      </c>
      <c r="O30" s="254">
        <f>O28</f>
        <v>3174710.95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0</v>
      </c>
      <c r="D31" s="255">
        <f t="shared" si="8"/>
        <v>0</v>
      </c>
      <c r="E31" s="255">
        <f t="shared" si="8"/>
        <v>0</v>
      </c>
      <c r="F31" s="255">
        <f t="shared" si="8"/>
        <v>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0</v>
      </c>
      <c r="D41" s="50">
        <f t="shared" si="14"/>
        <v>0</v>
      </c>
      <c r="E41" s="50">
        <f t="shared" si="14"/>
        <v>0</v>
      </c>
      <c r="F41" s="50">
        <f t="shared" si="14"/>
        <v>0</v>
      </c>
      <c r="G41" s="50">
        <f t="shared" si="14"/>
        <v>272724</v>
      </c>
      <c r="H41" s="50">
        <f t="shared" si="14"/>
        <v>204543</v>
      </c>
      <c r="I41" s="50">
        <f t="shared" si="14"/>
        <v>545448</v>
      </c>
      <c r="J41" s="50">
        <f t="shared" si="14"/>
        <v>409086</v>
      </c>
      <c r="K41" s="50">
        <f>K21-K25-K36</f>
        <v>955000</v>
      </c>
      <c r="L41" s="50">
        <f>L21-L25-L36</f>
        <v>955000</v>
      </c>
      <c r="M41" s="50">
        <f>M21-M25-M36</f>
        <v>0</v>
      </c>
      <c r="N41" s="50">
        <f>N21-N25-N36</f>
        <v>0</v>
      </c>
      <c r="O41" s="50">
        <f>O21-O25-O36-O38</f>
        <v>3341801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  <row r="63" spans="2:17" x14ac:dyDescent="0.25">
      <c r="D63" s="157">
        <v>835241686.27999997</v>
      </c>
    </row>
    <row r="64" spans="2:17" x14ac:dyDescent="0.25">
      <c r="D64" s="157">
        <v>724991686.27999997</v>
      </c>
    </row>
    <row r="66" spans="3:4" x14ac:dyDescent="0.25">
      <c r="D66" s="158">
        <f>D63-D64</f>
        <v>110250000</v>
      </c>
    </row>
    <row r="67" spans="3:4" x14ac:dyDescent="0.25">
      <c r="C67" s="157"/>
    </row>
    <row r="68" spans="3:4" x14ac:dyDescent="0.25">
      <c r="C68" s="157"/>
      <c r="D68" s="157">
        <v>110250000</v>
      </c>
    </row>
    <row r="69" spans="3:4" x14ac:dyDescent="0.25">
      <c r="C69" s="157"/>
    </row>
    <row r="70" spans="3:4" x14ac:dyDescent="0.25">
      <c r="C70" s="157"/>
    </row>
    <row r="71" spans="3:4" x14ac:dyDescent="0.25">
      <c r="C71" s="157"/>
    </row>
    <row r="72" spans="3:4" x14ac:dyDescent="0.25">
      <c r="C72" s="157"/>
    </row>
    <row r="73" spans="3:4" x14ac:dyDescent="0.25">
      <c r="C73" s="157"/>
    </row>
    <row r="74" spans="3:4" x14ac:dyDescent="0.25">
      <c r="C74" s="157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EDE01657-694C-4FFE-BF0B-79B70CB87470}"/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74B92-CCAE-465B-A708-8255DB667579}">
  <dimension ref="A1:V74"/>
  <sheetViews>
    <sheetView topLeftCell="C1" zoomScale="71" workbookViewId="0">
      <selection activeCell="O13" sqref="O1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4" width="15.28515625" style="3" bestFit="1" customWidth="1"/>
    <col min="5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14" t="s">
        <v>655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/>
      <c r="D13" s="92"/>
      <c r="E13" s="162"/>
      <c r="F13" s="92"/>
      <c r="G13" s="92">
        <v>1090896</v>
      </c>
      <c r="H13" s="92"/>
      <c r="I13" s="92"/>
      <c r="J13" s="92"/>
      <c r="K13" s="92"/>
      <c r="L13" s="92"/>
      <c r="M13" s="92"/>
      <c r="N13" s="92"/>
      <c r="O13" s="32">
        <f>SUM(C13:N13)</f>
        <v>1090896</v>
      </c>
      <c r="P13" s="123">
        <f t="shared" ref="P13:P18" si="1">Q13</f>
        <v>0</v>
      </c>
      <c r="Q13" s="123">
        <f>F13*12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0</v>
      </c>
      <c r="D19" s="37">
        <f>SUM(D13:D18)</f>
        <v>0</v>
      </c>
      <c r="E19" s="37">
        <f t="shared" ref="E19:O19" si="3">SUM(E13:E18)</f>
        <v>0</v>
      </c>
      <c r="F19" s="37">
        <f t="shared" si="3"/>
        <v>0</v>
      </c>
      <c r="G19" s="37">
        <f t="shared" si="3"/>
        <v>1090896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 t="shared" si="3"/>
        <v>0</v>
      </c>
      <c r="M19" s="37">
        <f t="shared" si="3"/>
        <v>0</v>
      </c>
      <c r="N19" s="37">
        <f t="shared" si="3"/>
        <v>0</v>
      </c>
      <c r="O19" s="38">
        <f>SUM(O13:O18)</f>
        <v>1090896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0</v>
      </c>
      <c r="D21" s="259">
        <f t="shared" ref="D21:N21" si="4">D19+D20</f>
        <v>0</v>
      </c>
      <c r="E21" s="259">
        <f t="shared" si="4"/>
        <v>0</v>
      </c>
      <c r="F21" s="259">
        <f t="shared" si="4"/>
        <v>0</v>
      </c>
      <c r="G21" s="259">
        <f>G19+G20</f>
        <v>1090896</v>
      </c>
      <c r="H21" s="259">
        <f t="shared" si="4"/>
        <v>0</v>
      </c>
      <c r="I21" s="259">
        <f t="shared" si="4"/>
        <v>0</v>
      </c>
      <c r="J21" s="259">
        <f t="shared" si="4"/>
        <v>0</v>
      </c>
      <c r="K21" s="259">
        <f t="shared" si="4"/>
        <v>0</v>
      </c>
      <c r="L21" s="259">
        <f t="shared" si="4"/>
        <v>0</v>
      </c>
      <c r="M21" s="259">
        <f t="shared" si="4"/>
        <v>0</v>
      </c>
      <c r="N21" s="259">
        <f t="shared" si="4"/>
        <v>0</v>
      </c>
      <c r="O21" s="259">
        <f>O19+O20</f>
        <v>1090896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0</v>
      </c>
      <c r="D23" s="257">
        <f t="shared" ref="D23:O23" si="5">IF(D21*5%&lt;500000,D21*5%,500000)</f>
        <v>0</v>
      </c>
      <c r="E23" s="257">
        <f t="shared" si="5"/>
        <v>0</v>
      </c>
      <c r="F23" s="257">
        <f t="shared" si="5"/>
        <v>0</v>
      </c>
      <c r="G23" s="257">
        <f>IF(G21*5%&lt;500000,G21*5%,500000)</f>
        <v>54544.800000000003</v>
      </c>
      <c r="H23" s="257">
        <f t="shared" si="5"/>
        <v>0</v>
      </c>
      <c r="I23" s="257">
        <f t="shared" si="5"/>
        <v>0</v>
      </c>
      <c r="J23" s="257">
        <f t="shared" si="5"/>
        <v>0</v>
      </c>
      <c r="K23" s="257">
        <f t="shared" si="5"/>
        <v>0</v>
      </c>
      <c r="L23" s="257">
        <f t="shared" si="5"/>
        <v>0</v>
      </c>
      <c r="M23" s="257">
        <f t="shared" si="5"/>
        <v>0</v>
      </c>
      <c r="N23" s="257">
        <f t="shared" si="5"/>
        <v>0</v>
      </c>
      <c r="O23" s="257">
        <f>IF(O21*5%&lt;6000000,O21*5%,6000000)</f>
        <v>54544.800000000003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0</v>
      </c>
      <c r="D26" s="257">
        <f t="shared" si="6"/>
        <v>0</v>
      </c>
      <c r="E26" s="257">
        <f t="shared" si="6"/>
        <v>0</v>
      </c>
      <c r="F26" s="257">
        <f t="shared" si="6"/>
        <v>0</v>
      </c>
      <c r="G26" s="257">
        <f>SUM(G23:G25)</f>
        <v>54544.800000000003</v>
      </c>
      <c r="H26" s="257">
        <f t="shared" si="6"/>
        <v>0</v>
      </c>
      <c r="I26" s="257">
        <f t="shared" si="6"/>
        <v>0</v>
      </c>
      <c r="J26" s="257">
        <f t="shared" si="6"/>
        <v>0</v>
      </c>
      <c r="K26" s="257">
        <f t="shared" si="6"/>
        <v>0</v>
      </c>
      <c r="L26" s="257">
        <f t="shared" si="6"/>
        <v>0</v>
      </c>
      <c r="M26" s="257">
        <f t="shared" si="6"/>
        <v>0</v>
      </c>
      <c r="N26" s="257">
        <f t="shared" si="6"/>
        <v>0</v>
      </c>
      <c r="O26" s="263">
        <f>SUM(O22:O25)</f>
        <v>54544.800000000003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0</v>
      </c>
      <c r="D28" s="255">
        <f t="shared" ref="D28:O28" si="7">D21-D26</f>
        <v>0</v>
      </c>
      <c r="E28" s="255">
        <f t="shared" si="7"/>
        <v>0</v>
      </c>
      <c r="F28" s="255">
        <f t="shared" si="7"/>
        <v>0</v>
      </c>
      <c r="G28" s="255">
        <f>G21-G26</f>
        <v>1036351.2</v>
      </c>
      <c r="H28" s="255">
        <f t="shared" si="7"/>
        <v>0</v>
      </c>
      <c r="I28" s="255">
        <f t="shared" si="7"/>
        <v>0</v>
      </c>
      <c r="J28" s="255">
        <f t="shared" si="7"/>
        <v>0</v>
      </c>
      <c r="K28" s="255">
        <f t="shared" si="7"/>
        <v>0</v>
      </c>
      <c r="L28" s="255">
        <f t="shared" si="7"/>
        <v>0</v>
      </c>
      <c r="M28" s="255">
        <f t="shared" si="7"/>
        <v>0</v>
      </c>
      <c r="N28" s="255">
        <f t="shared" si="7"/>
        <v>0</v>
      </c>
      <c r="O28" s="255">
        <f t="shared" si="7"/>
        <v>1036351.2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0</v>
      </c>
      <c r="D30" s="253">
        <f>SUM(C28:D28)*D10/D11</f>
        <v>0</v>
      </c>
      <c r="E30" s="253">
        <f>SUM(C28:E28)*E10/E11</f>
        <v>0</v>
      </c>
      <c r="F30" s="253">
        <f>SUM(C28:F28)*F10/F11</f>
        <v>0</v>
      </c>
      <c r="G30" s="253">
        <f>SUM(C28:G28)*G10/G11</f>
        <v>2487242.88</v>
      </c>
      <c r="H30" s="253">
        <f>SUM(C28:H28)*H10/H11</f>
        <v>2072702.3999999997</v>
      </c>
      <c r="I30" s="253">
        <f>SUM(C28:I28)*I10/I11</f>
        <v>1776602.057142857</v>
      </c>
      <c r="J30" s="253">
        <f>SUM(C28:J28)*J10/J11</f>
        <v>1554526.7999999998</v>
      </c>
      <c r="K30" s="253">
        <f>SUM(C28:K28)*K10/K11</f>
        <v>1381801.5999999999</v>
      </c>
      <c r="L30" s="253">
        <f>SUM(C28:L28)*L10/L11</f>
        <v>1243621.44</v>
      </c>
      <c r="M30" s="253">
        <f>SUM(C28:M28)*M10/M11</f>
        <v>1130564.9454545453</v>
      </c>
      <c r="N30" s="253">
        <f>SUM(C28:N28)*N10/N11</f>
        <v>1036351.1999999998</v>
      </c>
      <c r="O30" s="254">
        <f>O28</f>
        <v>1036351.2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0</v>
      </c>
      <c r="D31" s="255">
        <f t="shared" si="8"/>
        <v>0</v>
      </c>
      <c r="E31" s="255">
        <f t="shared" si="8"/>
        <v>0</v>
      </c>
      <c r="F31" s="255">
        <f t="shared" si="8"/>
        <v>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0</v>
      </c>
      <c r="D41" s="50">
        <f t="shared" si="14"/>
        <v>0</v>
      </c>
      <c r="E41" s="50">
        <f t="shared" si="14"/>
        <v>0</v>
      </c>
      <c r="F41" s="50">
        <f t="shared" si="14"/>
        <v>0</v>
      </c>
      <c r="G41" s="50">
        <f t="shared" si="14"/>
        <v>1090896</v>
      </c>
      <c r="H41" s="50">
        <f t="shared" si="14"/>
        <v>0</v>
      </c>
      <c r="I41" s="50">
        <f t="shared" si="14"/>
        <v>0</v>
      </c>
      <c r="J41" s="50">
        <f t="shared" si="14"/>
        <v>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0</v>
      </c>
      <c r="O41" s="50">
        <f>O21-O25-O36-O38</f>
        <v>1090896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  <row r="63" spans="2:17" x14ac:dyDescent="0.25">
      <c r="D63" s="157">
        <v>835241686.27999997</v>
      </c>
    </row>
    <row r="64" spans="2:17" x14ac:dyDescent="0.25">
      <c r="D64" s="157">
        <v>724991686.27999997</v>
      </c>
    </row>
    <row r="66" spans="3:4" x14ac:dyDescent="0.25">
      <c r="D66" s="158">
        <f>D63-D64</f>
        <v>110250000</v>
      </c>
    </row>
    <row r="67" spans="3:4" x14ac:dyDescent="0.25">
      <c r="C67" s="157"/>
    </row>
    <row r="68" spans="3:4" x14ac:dyDescent="0.25">
      <c r="C68" s="157"/>
      <c r="D68" s="157">
        <v>110250000</v>
      </c>
    </row>
    <row r="69" spans="3:4" x14ac:dyDescent="0.25">
      <c r="C69" s="157"/>
    </row>
    <row r="70" spans="3:4" x14ac:dyDescent="0.25">
      <c r="C70" s="157"/>
    </row>
    <row r="71" spans="3:4" x14ac:dyDescent="0.25">
      <c r="C71" s="157"/>
    </row>
    <row r="72" spans="3:4" x14ac:dyDescent="0.25">
      <c r="C72" s="157"/>
    </row>
    <row r="73" spans="3:4" x14ac:dyDescent="0.25">
      <c r="C73" s="157"/>
    </row>
    <row r="74" spans="3:4" x14ac:dyDescent="0.25">
      <c r="C74" s="157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13:N13 D14:N18 P13:Q18" xr:uid="{FB0CE763-A345-4170-BEF3-7564C3F83304}"/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V74"/>
  <sheetViews>
    <sheetView topLeftCell="E1" zoomScale="61" workbookViewId="0">
      <selection activeCell="P33" sqref="P33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4" width="15.28515625" style="3" bestFit="1" customWidth="1"/>
    <col min="5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14" t="s">
        <v>638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/>
      <c r="D13" s="92"/>
      <c r="E13" s="92">
        <v>5000000</v>
      </c>
      <c r="F13" s="92">
        <v>5000000</v>
      </c>
      <c r="G13" s="92">
        <v>5000000</v>
      </c>
      <c r="H13" s="92">
        <v>5150000</v>
      </c>
      <c r="I13" s="92">
        <v>5000000</v>
      </c>
      <c r="J13" s="92">
        <v>5000000</v>
      </c>
      <c r="K13" s="92">
        <v>5150000</v>
      </c>
      <c r="L13" s="92">
        <v>5150000</v>
      </c>
      <c r="M13" s="92">
        <v>5150000</v>
      </c>
      <c r="N13" s="92">
        <v>5150000</v>
      </c>
      <c r="O13" s="32">
        <f>SUM(C13:N13)</f>
        <v>50750000</v>
      </c>
      <c r="P13" s="123">
        <f t="shared" ref="P13:P18" si="1">Q13</f>
        <v>60000000</v>
      </c>
      <c r="Q13" s="123">
        <f>F13*12</f>
        <v>60000000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>
        <v>50000</v>
      </c>
      <c r="K16" s="92"/>
      <c r="L16" s="92"/>
      <c r="M16" s="92"/>
      <c r="N16" s="92"/>
      <c r="O16" s="32">
        <f>SUM(C16:N16)</f>
        <v>50000</v>
      </c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0</v>
      </c>
      <c r="D19" s="37">
        <f>SUM(D13:D18)</f>
        <v>0</v>
      </c>
      <c r="E19" s="37">
        <f t="shared" ref="E19:N19" si="3">SUM(E13:E18)</f>
        <v>5000000</v>
      </c>
      <c r="F19" s="37">
        <f t="shared" si="3"/>
        <v>5000000</v>
      </c>
      <c r="G19" s="37">
        <f t="shared" si="3"/>
        <v>5000000</v>
      </c>
      <c r="H19" s="37">
        <f t="shared" si="3"/>
        <v>5150000</v>
      </c>
      <c r="I19" s="37">
        <f t="shared" si="3"/>
        <v>5000000</v>
      </c>
      <c r="J19" s="37">
        <f t="shared" si="3"/>
        <v>5050000</v>
      </c>
      <c r="K19" s="37">
        <f t="shared" si="3"/>
        <v>5150000</v>
      </c>
      <c r="L19" s="37">
        <f t="shared" si="3"/>
        <v>5150000</v>
      </c>
      <c r="M19" s="37">
        <f t="shared" si="3"/>
        <v>5150000</v>
      </c>
      <c r="N19" s="37">
        <f t="shared" si="3"/>
        <v>5150000</v>
      </c>
      <c r="O19" s="38">
        <f>SUM(O13:O18)</f>
        <v>50800000</v>
      </c>
      <c r="P19" s="103">
        <f>SUM(P13:P18)</f>
        <v>60000000</v>
      </c>
      <c r="Q19" s="103">
        <f>SUM(Q13:Q18)</f>
        <v>60000000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>
        <f>P20</f>
        <v>5000000</v>
      </c>
      <c r="P20" s="110">
        <v>5000000</v>
      </c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0</v>
      </c>
      <c r="D21" s="259">
        <f t="shared" ref="D21:N21" si="4">D19+D20</f>
        <v>0</v>
      </c>
      <c r="E21" s="259">
        <f t="shared" si="4"/>
        <v>5000000</v>
      </c>
      <c r="F21" s="259">
        <f t="shared" si="4"/>
        <v>5000000</v>
      </c>
      <c r="G21" s="259">
        <f>G19+G20</f>
        <v>5000000</v>
      </c>
      <c r="H21" s="259">
        <f t="shared" si="4"/>
        <v>5150000</v>
      </c>
      <c r="I21" s="259">
        <f t="shared" si="4"/>
        <v>5000000</v>
      </c>
      <c r="J21" s="259">
        <f t="shared" si="4"/>
        <v>5050000</v>
      </c>
      <c r="K21" s="259">
        <f t="shared" si="4"/>
        <v>5150000</v>
      </c>
      <c r="L21" s="259">
        <f t="shared" si="4"/>
        <v>5150000</v>
      </c>
      <c r="M21" s="259">
        <f t="shared" si="4"/>
        <v>5150000</v>
      </c>
      <c r="N21" s="259">
        <f t="shared" si="4"/>
        <v>5150000</v>
      </c>
      <c r="O21" s="259">
        <f>O19+O20</f>
        <v>55800000</v>
      </c>
      <c r="P21" s="103">
        <f>P19+P20</f>
        <v>65000000</v>
      </c>
      <c r="Q21" s="103">
        <f>Q19+Q20</f>
        <v>60000000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0</v>
      </c>
      <c r="D23" s="257">
        <f t="shared" ref="D23:O23" si="5">IF(D21*5%&lt;500000,D21*5%,500000)</f>
        <v>0</v>
      </c>
      <c r="E23" s="257">
        <f t="shared" si="5"/>
        <v>250000</v>
      </c>
      <c r="F23" s="257">
        <f t="shared" si="5"/>
        <v>250000</v>
      </c>
      <c r="G23" s="257">
        <f>IF(G21*5%&lt;500000,G21*5%,500000)</f>
        <v>250000</v>
      </c>
      <c r="H23" s="257">
        <f t="shared" si="5"/>
        <v>257500</v>
      </c>
      <c r="I23" s="257">
        <f t="shared" si="5"/>
        <v>250000</v>
      </c>
      <c r="J23" s="257">
        <f t="shared" si="5"/>
        <v>252500</v>
      </c>
      <c r="K23" s="257">
        <f t="shared" si="5"/>
        <v>257500</v>
      </c>
      <c r="L23" s="257">
        <f t="shared" si="5"/>
        <v>257500</v>
      </c>
      <c r="M23" s="257">
        <f t="shared" si="5"/>
        <v>257500</v>
      </c>
      <c r="N23" s="257">
        <f t="shared" si="5"/>
        <v>257500</v>
      </c>
      <c r="O23" s="257">
        <f>IF(O21*5%&lt;6000000,O21*5%,6000000)</f>
        <v>2790000</v>
      </c>
      <c r="P23" s="110">
        <f>IF(P21*5%&lt;6000000,P21*5%,6000000)</f>
        <v>3250000</v>
      </c>
      <c r="Q23" s="110">
        <f>IF(Q21*5%&lt;6000000,Q21*5%,6000000)</f>
        <v>3000000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0</v>
      </c>
      <c r="D26" s="257">
        <f t="shared" si="6"/>
        <v>0</v>
      </c>
      <c r="E26" s="257">
        <f t="shared" si="6"/>
        <v>250000</v>
      </c>
      <c r="F26" s="257">
        <f t="shared" si="6"/>
        <v>250000</v>
      </c>
      <c r="G26" s="257">
        <f>SUM(G23:G25)</f>
        <v>250000</v>
      </c>
      <c r="H26" s="257">
        <f t="shared" si="6"/>
        <v>257500</v>
      </c>
      <c r="I26" s="257">
        <f t="shared" si="6"/>
        <v>250000</v>
      </c>
      <c r="J26" s="257">
        <f t="shared" si="6"/>
        <v>252500</v>
      </c>
      <c r="K26" s="257">
        <f t="shared" si="6"/>
        <v>257500</v>
      </c>
      <c r="L26" s="257">
        <f t="shared" si="6"/>
        <v>257500</v>
      </c>
      <c r="M26" s="257">
        <f t="shared" si="6"/>
        <v>257500</v>
      </c>
      <c r="N26" s="257">
        <f t="shared" si="6"/>
        <v>257500</v>
      </c>
      <c r="O26" s="263">
        <f>SUM(O22:O25)</f>
        <v>2790000</v>
      </c>
      <c r="P26" s="103">
        <f>SUM(P23:P25)</f>
        <v>3250000</v>
      </c>
      <c r="Q26" s="103">
        <f>SUM(Q23:Q25)</f>
        <v>3000000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0</v>
      </c>
      <c r="D28" s="255">
        <f t="shared" ref="D28:O28" si="7">D21-D26</f>
        <v>0</v>
      </c>
      <c r="E28" s="255">
        <f t="shared" si="7"/>
        <v>4750000</v>
      </c>
      <c r="F28" s="255">
        <f t="shared" si="7"/>
        <v>4750000</v>
      </c>
      <c r="G28" s="255">
        <f>G21-G26</f>
        <v>4750000</v>
      </c>
      <c r="H28" s="255">
        <f t="shared" si="7"/>
        <v>4892500</v>
      </c>
      <c r="I28" s="255">
        <f t="shared" si="7"/>
        <v>4750000</v>
      </c>
      <c r="J28" s="255">
        <f t="shared" si="7"/>
        <v>4797500</v>
      </c>
      <c r="K28" s="255">
        <f t="shared" si="7"/>
        <v>4892500</v>
      </c>
      <c r="L28" s="255">
        <f t="shared" si="7"/>
        <v>4892500</v>
      </c>
      <c r="M28" s="255">
        <f t="shared" si="7"/>
        <v>4892500</v>
      </c>
      <c r="N28" s="255">
        <f t="shared" si="7"/>
        <v>4892500</v>
      </c>
      <c r="O28" s="255">
        <f t="shared" si="7"/>
        <v>53010000</v>
      </c>
      <c r="P28" s="103">
        <f>P21-P26</f>
        <v>61750000</v>
      </c>
      <c r="Q28" s="103">
        <f>Q21-Q26</f>
        <v>57000000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0</v>
      </c>
      <c r="D30" s="253">
        <f>SUM(C28:D28)*D10/D11</f>
        <v>0</v>
      </c>
      <c r="E30" s="253">
        <f>SUM(C28:E28)*E10/E11</f>
        <v>19000000</v>
      </c>
      <c r="F30" s="253">
        <f>SUM(C28:F28)*F10/F11</f>
        <v>28500000</v>
      </c>
      <c r="G30" s="253">
        <f>SUM(C28:G28)*G10/G11</f>
        <v>34200000</v>
      </c>
      <c r="H30" s="253">
        <f>SUM(C28:H28)*H10/H11</f>
        <v>38285000</v>
      </c>
      <c r="I30" s="253">
        <f>SUM(C28:I28)*I10/I11</f>
        <v>40958571.428571425</v>
      </c>
      <c r="J30" s="253">
        <f>SUM(C28:J28)*J10/J11</f>
        <v>43035000</v>
      </c>
      <c r="K30" s="253">
        <f>SUM(C28:K28)*K10/K11</f>
        <v>44776666.666666664</v>
      </c>
      <c r="L30" s="253">
        <f>SUM(C28:L28)*L10/L11</f>
        <v>46170000</v>
      </c>
      <c r="M30" s="253">
        <f>SUM(C28:M28)*M10/M11</f>
        <v>47310000</v>
      </c>
      <c r="N30" s="253">
        <f>SUM(C28:N28)*N10/N11</f>
        <v>48260000</v>
      </c>
      <c r="O30" s="254">
        <f>O28</f>
        <v>53010000</v>
      </c>
      <c r="P30" s="108">
        <f>P28</f>
        <v>61750000</v>
      </c>
      <c r="Q30" s="108">
        <f>Q28</f>
        <v>57000000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0</v>
      </c>
      <c r="D31" s="255">
        <f t="shared" si="8"/>
        <v>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0</v>
      </c>
      <c r="D41" s="50">
        <f t="shared" si="14"/>
        <v>0</v>
      </c>
      <c r="E41" s="50">
        <f t="shared" si="14"/>
        <v>5000000</v>
      </c>
      <c r="F41" s="50">
        <f t="shared" si="14"/>
        <v>5000000</v>
      </c>
      <c r="G41" s="50">
        <f t="shared" si="14"/>
        <v>5000000</v>
      </c>
      <c r="H41" s="50">
        <f t="shared" si="14"/>
        <v>5150000</v>
      </c>
      <c r="I41" s="50">
        <f t="shared" si="14"/>
        <v>5000000</v>
      </c>
      <c r="J41" s="50">
        <f t="shared" si="14"/>
        <v>5050000</v>
      </c>
      <c r="K41" s="50">
        <f>K21-K25-K36</f>
        <v>5150000</v>
      </c>
      <c r="L41" s="50">
        <f>L21-L25-L36</f>
        <v>5150000</v>
      </c>
      <c r="M41" s="50">
        <f>M21-M25-M36</f>
        <v>5150000</v>
      </c>
      <c r="N41" s="50">
        <f>N21-N25-N36</f>
        <v>5150000</v>
      </c>
      <c r="O41" s="50">
        <f>O21-O25-O36-O38</f>
        <v>55800000</v>
      </c>
      <c r="P41" s="126">
        <f>P21-P25-P36</f>
        <v>65000000</v>
      </c>
      <c r="Q41" s="126">
        <f>Q21-Q25-Q36</f>
        <v>60000000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  <row r="63" spans="2:17" x14ac:dyDescent="0.25">
      <c r="D63" s="157">
        <v>835241686.27999997</v>
      </c>
    </row>
    <row r="64" spans="2:17" x14ac:dyDescent="0.25">
      <c r="D64" s="157">
        <v>724991686.27999997</v>
      </c>
    </row>
    <row r="66" spans="3:4" x14ac:dyDescent="0.25">
      <c r="D66" s="158">
        <f>D63-D64</f>
        <v>110250000</v>
      </c>
    </row>
    <row r="67" spans="3:4" x14ac:dyDescent="0.25">
      <c r="C67" s="157"/>
    </row>
    <row r="68" spans="3:4" x14ac:dyDescent="0.25">
      <c r="C68" s="157"/>
      <c r="D68" s="157">
        <v>110250000</v>
      </c>
    </row>
    <row r="69" spans="3:4" x14ac:dyDescent="0.25">
      <c r="C69" s="157"/>
    </row>
    <row r="70" spans="3:4" x14ac:dyDescent="0.25">
      <c r="C70" s="157"/>
    </row>
    <row r="71" spans="3:4" x14ac:dyDescent="0.25">
      <c r="C71" s="157"/>
    </row>
    <row r="72" spans="3:4" x14ac:dyDescent="0.25">
      <c r="C72" s="157"/>
    </row>
    <row r="73" spans="3:4" x14ac:dyDescent="0.25">
      <c r="C73" s="157"/>
    </row>
    <row r="74" spans="3:4" x14ac:dyDescent="0.25">
      <c r="C74" s="157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00000000-0002-0000-5E00-000000000000}"/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D89D-CF4C-49EA-8D10-F9659ED9E903}">
  <dimension ref="A1:V74"/>
  <sheetViews>
    <sheetView topLeftCell="C1" zoomScale="60" workbookViewId="0">
      <selection activeCell="P12" sqref="P12:Q12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4" width="15.28515625" style="3" bestFit="1" customWidth="1"/>
    <col min="5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14" t="s">
        <v>653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/>
      <c r="D13" s="92"/>
      <c r="E13" s="162"/>
      <c r="F13" s="92"/>
      <c r="G13" s="92">
        <v>5500000</v>
      </c>
      <c r="H13" s="92">
        <v>15000000</v>
      </c>
      <c r="I13" s="92"/>
      <c r="J13" s="92"/>
      <c r="K13" s="92"/>
      <c r="L13" s="92"/>
      <c r="M13" s="92"/>
      <c r="N13" s="92"/>
      <c r="O13" s="32">
        <f>SUM(C13:N13)</f>
        <v>20500000</v>
      </c>
      <c r="P13" s="123">
        <f t="shared" ref="P13:P18" si="1">Q13</f>
        <v>0</v>
      </c>
      <c r="Q13" s="123">
        <f>F13*12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ref="Q14:Q18" si="2">G14*12</f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0</v>
      </c>
      <c r="D19" s="37">
        <f>SUM(D13:D18)</f>
        <v>0</v>
      </c>
      <c r="E19" s="37">
        <f t="shared" ref="E19:N19" si="3">SUM(E13:E18)</f>
        <v>0</v>
      </c>
      <c r="F19" s="37">
        <f t="shared" si="3"/>
        <v>0</v>
      </c>
      <c r="G19" s="37">
        <f t="shared" si="3"/>
        <v>5500000</v>
      </c>
      <c r="H19" s="37">
        <f t="shared" si="3"/>
        <v>15000000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 t="shared" si="3"/>
        <v>0</v>
      </c>
      <c r="M19" s="37">
        <f t="shared" si="3"/>
        <v>0</v>
      </c>
      <c r="N19" s="37">
        <f t="shared" si="3"/>
        <v>0</v>
      </c>
      <c r="O19" s="38">
        <f>SUM(O13:O18)</f>
        <v>20500000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0</v>
      </c>
      <c r="D21" s="259">
        <f t="shared" ref="D21:N21" si="4">D19+D20</f>
        <v>0</v>
      </c>
      <c r="E21" s="259">
        <f t="shared" si="4"/>
        <v>0</v>
      </c>
      <c r="F21" s="259">
        <f t="shared" si="4"/>
        <v>0</v>
      </c>
      <c r="G21" s="259">
        <f>G19+G20</f>
        <v>5500000</v>
      </c>
      <c r="H21" s="259">
        <f t="shared" si="4"/>
        <v>15000000</v>
      </c>
      <c r="I21" s="259">
        <f t="shared" si="4"/>
        <v>0</v>
      </c>
      <c r="J21" s="259">
        <f t="shared" si="4"/>
        <v>0</v>
      </c>
      <c r="K21" s="259">
        <f t="shared" si="4"/>
        <v>0</v>
      </c>
      <c r="L21" s="259">
        <f t="shared" si="4"/>
        <v>0</v>
      </c>
      <c r="M21" s="259">
        <f t="shared" si="4"/>
        <v>0</v>
      </c>
      <c r="N21" s="259">
        <f t="shared" si="4"/>
        <v>0</v>
      </c>
      <c r="O21" s="259">
        <f>O19+O20</f>
        <v>20500000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0</v>
      </c>
      <c r="D23" s="257">
        <f t="shared" ref="D23:O23" si="5">IF(D21*5%&lt;500000,D21*5%,500000)</f>
        <v>0</v>
      </c>
      <c r="E23" s="257">
        <f t="shared" si="5"/>
        <v>0</v>
      </c>
      <c r="F23" s="257">
        <f t="shared" si="5"/>
        <v>0</v>
      </c>
      <c r="G23" s="257">
        <f>IF(G21*5%&lt;500000,G21*5%,500000)</f>
        <v>275000</v>
      </c>
      <c r="H23" s="257">
        <f t="shared" si="5"/>
        <v>500000</v>
      </c>
      <c r="I23" s="257">
        <f t="shared" si="5"/>
        <v>0</v>
      </c>
      <c r="J23" s="257">
        <f t="shared" si="5"/>
        <v>0</v>
      </c>
      <c r="K23" s="257">
        <f t="shared" si="5"/>
        <v>0</v>
      </c>
      <c r="L23" s="257">
        <f t="shared" si="5"/>
        <v>0</v>
      </c>
      <c r="M23" s="257">
        <f t="shared" si="5"/>
        <v>0</v>
      </c>
      <c r="N23" s="257">
        <f t="shared" si="5"/>
        <v>0</v>
      </c>
      <c r="O23" s="257">
        <f>IF(O21*5%&lt;6000000,O21*5%,6000000)</f>
        <v>1025000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0</v>
      </c>
      <c r="D26" s="257">
        <f t="shared" si="6"/>
        <v>0</v>
      </c>
      <c r="E26" s="257">
        <f t="shared" si="6"/>
        <v>0</v>
      </c>
      <c r="F26" s="257">
        <f t="shared" si="6"/>
        <v>0</v>
      </c>
      <c r="G26" s="257">
        <f>SUM(G23:G25)</f>
        <v>275000</v>
      </c>
      <c r="H26" s="257">
        <f t="shared" si="6"/>
        <v>500000</v>
      </c>
      <c r="I26" s="257">
        <f t="shared" si="6"/>
        <v>0</v>
      </c>
      <c r="J26" s="257">
        <f t="shared" si="6"/>
        <v>0</v>
      </c>
      <c r="K26" s="257">
        <f t="shared" si="6"/>
        <v>0</v>
      </c>
      <c r="L26" s="257">
        <f t="shared" si="6"/>
        <v>0</v>
      </c>
      <c r="M26" s="257">
        <f t="shared" si="6"/>
        <v>0</v>
      </c>
      <c r="N26" s="257">
        <f t="shared" si="6"/>
        <v>0</v>
      </c>
      <c r="O26" s="263">
        <f>SUM(O22:O25)</f>
        <v>1025000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0</v>
      </c>
      <c r="D28" s="255">
        <f t="shared" ref="D28:O28" si="7">D21-D26</f>
        <v>0</v>
      </c>
      <c r="E28" s="255">
        <f t="shared" si="7"/>
        <v>0</v>
      </c>
      <c r="F28" s="255">
        <f t="shared" si="7"/>
        <v>0</v>
      </c>
      <c r="G28" s="255">
        <f>G21-G26</f>
        <v>5225000</v>
      </c>
      <c r="H28" s="255">
        <f t="shared" si="7"/>
        <v>14500000</v>
      </c>
      <c r="I28" s="255">
        <f t="shared" si="7"/>
        <v>0</v>
      </c>
      <c r="J28" s="255">
        <f t="shared" si="7"/>
        <v>0</v>
      </c>
      <c r="K28" s="255">
        <f t="shared" si="7"/>
        <v>0</v>
      </c>
      <c r="L28" s="255">
        <f t="shared" si="7"/>
        <v>0</v>
      </c>
      <c r="M28" s="255">
        <f t="shared" si="7"/>
        <v>0</v>
      </c>
      <c r="N28" s="255">
        <f t="shared" si="7"/>
        <v>0</v>
      </c>
      <c r="O28" s="255">
        <f t="shared" si="7"/>
        <v>19475000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0</v>
      </c>
      <c r="D30" s="253">
        <f>SUM(C28:D28)*D10/D11</f>
        <v>0</v>
      </c>
      <c r="E30" s="253">
        <f>SUM(C28:E28)*E10/E11</f>
        <v>0</v>
      </c>
      <c r="F30" s="253">
        <f>SUM(C28:F28)*F10/F11</f>
        <v>0</v>
      </c>
      <c r="G30" s="253">
        <f>SUM(C28:G28)*G10/G11</f>
        <v>12540000</v>
      </c>
      <c r="H30" s="253">
        <f>SUM(C28:H28)*H10/H11</f>
        <v>39450000</v>
      </c>
      <c r="I30" s="253">
        <f>SUM(C28:I28)*I10/I11</f>
        <v>33814285.714285716</v>
      </c>
      <c r="J30" s="253">
        <f>SUM(C28:J28)*J10/J11</f>
        <v>29587500</v>
      </c>
      <c r="K30" s="253">
        <f>SUM(C28:K28)*K10/K11</f>
        <v>26300000</v>
      </c>
      <c r="L30" s="253">
        <f>SUM(C28:L28)*L10/L11</f>
        <v>23670000</v>
      </c>
      <c r="M30" s="253">
        <f>SUM(C28:M28)*M10/M11</f>
        <v>21518181.818181816</v>
      </c>
      <c r="N30" s="253">
        <f>SUM(C28:N28)*N10/N11</f>
        <v>19725000</v>
      </c>
      <c r="O30" s="254">
        <f>O28</f>
        <v>19475000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0</v>
      </c>
      <c r="D31" s="255">
        <f t="shared" si="8"/>
        <v>0</v>
      </c>
      <c r="E31" s="255">
        <f t="shared" si="8"/>
        <v>0</v>
      </c>
      <c r="F31" s="255">
        <f t="shared" si="8"/>
        <v>0</v>
      </c>
      <c r="G31" s="255">
        <f>IF(G30&gt;0,VLOOKUP(G9,$B$47:$C$59,2,FALSE),0)</f>
        <v>54000000</v>
      </c>
      <c r="H31" s="255">
        <f t="shared" si="8"/>
        <v>54000000</v>
      </c>
      <c r="I31" s="255">
        <f t="shared" si="8"/>
        <v>54000000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255">
        <f t="shared" ref="P33:Q33" si="12">IF(P32&lt;0,0,IF(P32&lt;60000000,P32*5%,IF(P32&lt;250000000,(P32-60000000)*15%+3000000,IF(P32&lt;500000000,(P32-250000000)*25%+31500000,IF(P32&lt;5000000000,(P32-500000000)*30%+94000000,IF(P32&gt;5000000000,(P32-500000000)*35%+1444000000))))))</f>
        <v>0</v>
      </c>
      <c r="Q33" s="255">
        <f t="shared" si="12"/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3">D33-D34</f>
        <v>0</v>
      </c>
      <c r="E35" s="255">
        <f t="shared" si="13"/>
        <v>0</v>
      </c>
      <c r="F35" s="255">
        <f t="shared" si="13"/>
        <v>0</v>
      </c>
      <c r="G35" s="255">
        <f t="shared" si="13"/>
        <v>0</v>
      </c>
      <c r="H35" s="255">
        <f t="shared" si="13"/>
        <v>0</v>
      </c>
      <c r="I35" s="255">
        <f t="shared" si="13"/>
        <v>0</v>
      </c>
      <c r="J35" s="255">
        <f t="shared" si="13"/>
        <v>0</v>
      </c>
      <c r="K35" s="255">
        <f t="shared" si="13"/>
        <v>0</v>
      </c>
      <c r="L35" s="255">
        <f t="shared" si="13"/>
        <v>0</v>
      </c>
      <c r="M35" s="255">
        <f t="shared" si="13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4">C21-C25-C36</f>
        <v>0</v>
      </c>
      <c r="D41" s="50">
        <f t="shared" si="14"/>
        <v>0</v>
      </c>
      <c r="E41" s="50">
        <f t="shared" si="14"/>
        <v>0</v>
      </c>
      <c r="F41" s="50">
        <f t="shared" si="14"/>
        <v>0</v>
      </c>
      <c r="G41" s="50">
        <f t="shared" si="14"/>
        <v>5500000</v>
      </c>
      <c r="H41" s="50">
        <f t="shared" si="14"/>
        <v>15000000</v>
      </c>
      <c r="I41" s="50">
        <f t="shared" si="14"/>
        <v>0</v>
      </c>
      <c r="J41" s="50">
        <f t="shared" si="14"/>
        <v>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0</v>
      </c>
      <c r="O41" s="50">
        <f>O21-O25-O36-O38</f>
        <v>20500000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  <row r="63" spans="2:17" x14ac:dyDescent="0.25">
      <c r="D63" s="157">
        <v>835241686.27999997</v>
      </c>
    </row>
    <row r="64" spans="2:17" x14ac:dyDescent="0.25">
      <c r="D64" s="157">
        <v>724991686.27999997</v>
      </c>
    </row>
    <row r="66" spans="3:4" x14ac:dyDescent="0.25">
      <c r="D66" s="158">
        <f>D63-D64</f>
        <v>110250000</v>
      </c>
    </row>
    <row r="67" spans="3:4" x14ac:dyDescent="0.25">
      <c r="C67" s="157"/>
    </row>
    <row r="68" spans="3:4" x14ac:dyDescent="0.25">
      <c r="C68" s="157"/>
      <c r="D68" s="157">
        <v>110250000</v>
      </c>
    </row>
    <row r="69" spans="3:4" x14ac:dyDescent="0.25">
      <c r="C69" s="157"/>
    </row>
    <row r="70" spans="3:4" x14ac:dyDescent="0.25">
      <c r="C70" s="157"/>
    </row>
    <row r="71" spans="3:4" x14ac:dyDescent="0.25">
      <c r="C71" s="157"/>
    </row>
    <row r="72" spans="3:4" x14ac:dyDescent="0.25">
      <c r="C72" s="157"/>
    </row>
    <row r="73" spans="3:4" x14ac:dyDescent="0.25">
      <c r="C73" s="157"/>
    </row>
    <row r="74" spans="3:4" x14ac:dyDescent="0.25">
      <c r="C74" s="157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13:N13 D14:N18 P13:Q18" xr:uid="{0C096085-7451-4A5C-980B-353EA5BD495A}"/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V74"/>
  <sheetViews>
    <sheetView zoomScale="54" workbookViewId="0">
      <selection activeCell="P12" sqref="P12:Q12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4" width="15.28515625" style="3" bestFit="1" customWidth="1"/>
    <col min="5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14" t="s">
        <v>639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K/3</v>
      </c>
      <c r="D9" s="251" t="str">
        <f t="shared" ref="D9:O9" si="0">$B$3</f>
        <v>K/3</v>
      </c>
      <c r="E9" s="251" t="str">
        <f t="shared" si="0"/>
        <v>K/3</v>
      </c>
      <c r="F9" s="251" t="str">
        <f t="shared" si="0"/>
        <v>K/3</v>
      </c>
      <c r="G9" s="251" t="str">
        <f t="shared" si="0"/>
        <v>K/3</v>
      </c>
      <c r="H9" s="251" t="str">
        <f t="shared" si="0"/>
        <v>K/3</v>
      </c>
      <c r="I9" s="251" t="str">
        <f t="shared" si="0"/>
        <v>K/3</v>
      </c>
      <c r="J9" s="251" t="str">
        <f t="shared" si="0"/>
        <v>K/3</v>
      </c>
      <c r="K9" s="251" t="str">
        <f t="shared" si="0"/>
        <v>K/3</v>
      </c>
      <c r="L9" s="251" t="str">
        <f t="shared" si="0"/>
        <v>K/3</v>
      </c>
      <c r="M9" s="251" t="str">
        <f t="shared" si="0"/>
        <v>K/3</v>
      </c>
      <c r="N9" s="251" t="str">
        <f t="shared" si="0"/>
        <v>K/3</v>
      </c>
      <c r="O9" s="251" t="str">
        <f t="shared" si="0"/>
        <v>K/3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/>
      <c r="D13" s="92"/>
      <c r="E13" s="162">
        <v>1500000</v>
      </c>
      <c r="F13" s="92"/>
      <c r="G13" s="92"/>
      <c r="H13" s="92"/>
      <c r="I13" s="92"/>
      <c r="J13" s="92"/>
      <c r="K13" s="92"/>
      <c r="L13" s="92"/>
      <c r="M13" s="92"/>
      <c r="N13" s="92"/>
      <c r="O13" s="32">
        <f>SUM(C13:N13)</f>
        <v>1500000</v>
      </c>
      <c r="P13" s="123">
        <f t="shared" ref="P13:P18" si="1">Q13</f>
        <v>0</v>
      </c>
      <c r="Q13" s="123">
        <f t="shared" ref="Q13:Q18" si="2">G13*12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si="2"/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0</v>
      </c>
      <c r="D19" s="37">
        <f>SUM(D13:D18)</f>
        <v>0</v>
      </c>
      <c r="E19" s="37">
        <f t="shared" ref="E19:N19" si="3">SUM(E13:E18)</f>
        <v>1500000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0</v>
      </c>
      <c r="K19" s="37">
        <f t="shared" si="3"/>
        <v>0</v>
      </c>
      <c r="L19" s="37">
        <f t="shared" si="3"/>
        <v>0</v>
      </c>
      <c r="M19" s="37">
        <f t="shared" si="3"/>
        <v>0</v>
      </c>
      <c r="N19" s="37">
        <f t="shared" si="3"/>
        <v>0</v>
      </c>
      <c r="O19" s="38">
        <f>SUM(O13:O18)</f>
        <v>1500000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0</v>
      </c>
      <c r="D21" s="259">
        <f t="shared" ref="D21:N21" si="4">D19+D20</f>
        <v>0</v>
      </c>
      <c r="E21" s="259">
        <f t="shared" si="4"/>
        <v>1500000</v>
      </c>
      <c r="F21" s="259">
        <f t="shared" si="4"/>
        <v>0</v>
      </c>
      <c r="G21" s="259">
        <f>G19+G20</f>
        <v>0</v>
      </c>
      <c r="H21" s="259">
        <f t="shared" si="4"/>
        <v>0</v>
      </c>
      <c r="I21" s="259">
        <f t="shared" si="4"/>
        <v>0</v>
      </c>
      <c r="J21" s="259">
        <f t="shared" si="4"/>
        <v>0</v>
      </c>
      <c r="K21" s="259">
        <f t="shared" si="4"/>
        <v>0</v>
      </c>
      <c r="L21" s="259">
        <f t="shared" si="4"/>
        <v>0</v>
      </c>
      <c r="M21" s="259">
        <f t="shared" si="4"/>
        <v>0</v>
      </c>
      <c r="N21" s="259">
        <f t="shared" si="4"/>
        <v>0</v>
      </c>
      <c r="O21" s="259">
        <f>O19+O20</f>
        <v>1500000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0</v>
      </c>
      <c r="D23" s="257">
        <f t="shared" ref="D23:O23" si="5">IF(D21*5%&lt;500000,D21*5%,500000)</f>
        <v>0</v>
      </c>
      <c r="E23" s="257">
        <f t="shared" si="5"/>
        <v>75000</v>
      </c>
      <c r="F23" s="257">
        <f t="shared" si="5"/>
        <v>0</v>
      </c>
      <c r="G23" s="257">
        <f>IF(G21*5%&lt;500000,G21*5%,500000)</f>
        <v>0</v>
      </c>
      <c r="H23" s="257">
        <f t="shared" si="5"/>
        <v>0</v>
      </c>
      <c r="I23" s="257">
        <f t="shared" si="5"/>
        <v>0</v>
      </c>
      <c r="J23" s="257">
        <f t="shared" si="5"/>
        <v>0</v>
      </c>
      <c r="K23" s="257">
        <f t="shared" si="5"/>
        <v>0</v>
      </c>
      <c r="L23" s="257">
        <f t="shared" si="5"/>
        <v>0</v>
      </c>
      <c r="M23" s="257">
        <f t="shared" si="5"/>
        <v>0</v>
      </c>
      <c r="N23" s="257">
        <f t="shared" si="5"/>
        <v>0</v>
      </c>
      <c r="O23" s="257">
        <f>IF(O21*5%&lt;6000000,O21*5%,6000000)</f>
        <v>75000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0</v>
      </c>
      <c r="D26" s="257">
        <f t="shared" si="6"/>
        <v>0</v>
      </c>
      <c r="E26" s="257">
        <f t="shared" si="6"/>
        <v>75000</v>
      </c>
      <c r="F26" s="257">
        <f t="shared" si="6"/>
        <v>0</v>
      </c>
      <c r="G26" s="257">
        <f>SUM(G23:G25)</f>
        <v>0</v>
      </c>
      <c r="H26" s="257">
        <f t="shared" si="6"/>
        <v>0</v>
      </c>
      <c r="I26" s="257">
        <f t="shared" si="6"/>
        <v>0</v>
      </c>
      <c r="J26" s="257">
        <f t="shared" si="6"/>
        <v>0</v>
      </c>
      <c r="K26" s="257">
        <f t="shared" si="6"/>
        <v>0</v>
      </c>
      <c r="L26" s="257">
        <f t="shared" si="6"/>
        <v>0</v>
      </c>
      <c r="M26" s="257">
        <f t="shared" si="6"/>
        <v>0</v>
      </c>
      <c r="N26" s="257">
        <f t="shared" si="6"/>
        <v>0</v>
      </c>
      <c r="O26" s="263">
        <f>SUM(O22:O25)</f>
        <v>75000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0</v>
      </c>
      <c r="D28" s="255">
        <f t="shared" ref="D28:O28" si="7">D21-D26</f>
        <v>0</v>
      </c>
      <c r="E28" s="255">
        <f t="shared" si="7"/>
        <v>1425000</v>
      </c>
      <c r="F28" s="255">
        <f t="shared" si="7"/>
        <v>0</v>
      </c>
      <c r="G28" s="255">
        <f>G21-G26</f>
        <v>0</v>
      </c>
      <c r="H28" s="255">
        <f t="shared" si="7"/>
        <v>0</v>
      </c>
      <c r="I28" s="255">
        <f t="shared" si="7"/>
        <v>0</v>
      </c>
      <c r="J28" s="255">
        <f t="shared" si="7"/>
        <v>0</v>
      </c>
      <c r="K28" s="255">
        <f t="shared" si="7"/>
        <v>0</v>
      </c>
      <c r="L28" s="255">
        <f t="shared" si="7"/>
        <v>0</v>
      </c>
      <c r="M28" s="255">
        <f t="shared" si="7"/>
        <v>0</v>
      </c>
      <c r="N28" s="255">
        <f t="shared" si="7"/>
        <v>0</v>
      </c>
      <c r="O28" s="255">
        <f t="shared" si="7"/>
        <v>1425000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0</v>
      </c>
      <c r="D30" s="253">
        <f>SUM(C28:D28)*D10/D11</f>
        <v>0</v>
      </c>
      <c r="E30" s="253">
        <f>SUM(C28:E28)*E10/E11</f>
        <v>5700000</v>
      </c>
      <c r="F30" s="253">
        <f>SUM(C28:F28)*F10/F11</f>
        <v>4275000</v>
      </c>
      <c r="G30" s="253">
        <f>SUM(C28:G28)*G10/G11</f>
        <v>3420000</v>
      </c>
      <c r="H30" s="253">
        <f>SUM(C28:H28)*H10/H11</f>
        <v>2850000</v>
      </c>
      <c r="I30" s="253">
        <f>SUM(C28:I28)*I10/I11</f>
        <v>2442857.1428571427</v>
      </c>
      <c r="J30" s="253">
        <f>SUM(C28:J28)*J10/J11</f>
        <v>2137500</v>
      </c>
      <c r="K30" s="253">
        <f>SUM(C28:K28)*K10/K11</f>
        <v>1900000</v>
      </c>
      <c r="L30" s="253">
        <f>SUM(C28:L28)*L10/L11</f>
        <v>1710000</v>
      </c>
      <c r="M30" s="253">
        <f>SUM(C28:M28)*M10/M11</f>
        <v>1554545.4545454546</v>
      </c>
      <c r="N30" s="253">
        <f>SUM(C28:N28)*N10/N11</f>
        <v>1425000</v>
      </c>
      <c r="O30" s="254">
        <f>O28</f>
        <v>1425000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0</v>
      </c>
      <c r="D31" s="255">
        <f t="shared" si="8"/>
        <v>0</v>
      </c>
      <c r="E31" s="255">
        <f t="shared" si="8"/>
        <v>72000000</v>
      </c>
      <c r="F31" s="255">
        <f t="shared" si="8"/>
        <v>72000000</v>
      </c>
      <c r="G31" s="255">
        <f>IF(G30&gt;0,VLOOKUP(G9,$B$47:$C$59,2,FALSE),0)</f>
        <v>72000000</v>
      </c>
      <c r="H31" s="255">
        <f t="shared" si="8"/>
        <v>72000000</v>
      </c>
      <c r="I31" s="255">
        <f t="shared" si="8"/>
        <v>72000000</v>
      </c>
      <c r="J31" s="255">
        <f t="shared" si="8"/>
        <v>72000000</v>
      </c>
      <c r="K31" s="255">
        <f t="shared" si="8"/>
        <v>72000000</v>
      </c>
      <c r="L31" s="255">
        <f t="shared" si="8"/>
        <v>72000000</v>
      </c>
      <c r="M31" s="255">
        <f t="shared" si="8"/>
        <v>72000000</v>
      </c>
      <c r="N31" s="255">
        <f t="shared" si="8"/>
        <v>72000000</v>
      </c>
      <c r="O31" s="255">
        <f t="shared" si="8"/>
        <v>72000000</v>
      </c>
      <c r="P31" s="103">
        <f>O31</f>
        <v>72000000</v>
      </c>
      <c r="Q31" s="103">
        <f>P31</f>
        <v>72000000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103">
        <f>IF(P32&lt;0,0,IF(P32&lt;50000000,P32*5%,IF(P32&lt;250000000,(P32-50000000)*15%+2500000,IF(P32&lt;500000000,(P32-250000000)*25%+32500000,IF(P32&gt;500000000,(P32-500000000)*30%+95000000)))))</f>
        <v>0</v>
      </c>
      <c r="Q33" s="103">
        <f>IF(Q32&lt;0,0,IF(Q32&lt;50000000,Q32*5%,IF(Q32&lt;250000000,(Q32-50000000)*15%+2500000,IF(Q32&lt;500000000,(Q32-250000000)*25%+32500000,IF(Q32&gt;500000000,(Q32-500000000)*30%+95000000)))))</f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2">D33-D34</f>
        <v>0</v>
      </c>
      <c r="E35" s="255">
        <f t="shared" si="12"/>
        <v>0</v>
      </c>
      <c r="F35" s="255">
        <f t="shared" si="12"/>
        <v>0</v>
      </c>
      <c r="G35" s="255">
        <f t="shared" si="12"/>
        <v>0</v>
      </c>
      <c r="H35" s="255">
        <f t="shared" si="12"/>
        <v>0</v>
      </c>
      <c r="I35" s="255">
        <f t="shared" si="12"/>
        <v>0</v>
      </c>
      <c r="J35" s="255">
        <f t="shared" si="12"/>
        <v>0</v>
      </c>
      <c r="K35" s="255">
        <f t="shared" si="12"/>
        <v>0</v>
      </c>
      <c r="L35" s="255">
        <f t="shared" si="12"/>
        <v>0</v>
      </c>
      <c r="M35" s="255">
        <f t="shared" si="12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3">C21-C25-C36</f>
        <v>0</v>
      </c>
      <c r="D41" s="50">
        <f t="shared" si="13"/>
        <v>0</v>
      </c>
      <c r="E41" s="50">
        <f t="shared" si="13"/>
        <v>1500000</v>
      </c>
      <c r="F41" s="50">
        <f t="shared" si="13"/>
        <v>0</v>
      </c>
      <c r="G41" s="50">
        <f t="shared" si="13"/>
        <v>0</v>
      </c>
      <c r="H41" s="50">
        <f t="shared" si="13"/>
        <v>0</v>
      </c>
      <c r="I41" s="50">
        <f t="shared" si="13"/>
        <v>0</v>
      </c>
      <c r="J41" s="50">
        <f t="shared" si="13"/>
        <v>0</v>
      </c>
      <c r="K41" s="50">
        <f>K21-K25-K36</f>
        <v>0</v>
      </c>
      <c r="L41" s="50">
        <f>L21-L25-L36</f>
        <v>0</v>
      </c>
      <c r="M41" s="50">
        <f>M21-M25-M36</f>
        <v>0</v>
      </c>
      <c r="N41" s="50">
        <f>N21-N25-N36</f>
        <v>0</v>
      </c>
      <c r="O41" s="50">
        <f>O21-O25-O36-O38</f>
        <v>1500000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  <row r="63" spans="2:17" x14ac:dyDescent="0.25">
      <c r="D63" s="157">
        <v>835241686.27999997</v>
      </c>
    </row>
    <row r="64" spans="2:17" x14ac:dyDescent="0.25">
      <c r="D64" s="157">
        <v>724991686.27999997</v>
      </c>
    </row>
    <row r="66" spans="3:4" x14ac:dyDescent="0.25">
      <c r="D66" s="158">
        <f>D63-D64</f>
        <v>110250000</v>
      </c>
    </row>
    <row r="67" spans="3:4" x14ac:dyDescent="0.25">
      <c r="C67" s="157"/>
    </row>
    <row r="68" spans="3:4" x14ac:dyDescent="0.25">
      <c r="C68" s="157"/>
      <c r="D68" s="157">
        <v>110250000</v>
      </c>
    </row>
    <row r="69" spans="3:4" x14ac:dyDescent="0.25">
      <c r="C69" s="157"/>
    </row>
    <row r="70" spans="3:4" x14ac:dyDescent="0.25">
      <c r="C70" s="157"/>
    </row>
    <row r="71" spans="3:4" x14ac:dyDescent="0.25">
      <c r="C71" s="157"/>
    </row>
    <row r="72" spans="3:4" x14ac:dyDescent="0.25">
      <c r="C72" s="157"/>
    </row>
    <row r="73" spans="3:4" x14ac:dyDescent="0.25">
      <c r="C73" s="157"/>
    </row>
    <row r="74" spans="3:4" x14ac:dyDescent="0.25">
      <c r="C74" s="157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C13:N13 D14:N18 P13:Q18" xr:uid="{00000000-0002-0000-5F00-000000000000}"/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111D-81F3-493D-98F2-249B590085CA}">
  <dimension ref="A1:V74"/>
  <sheetViews>
    <sheetView topLeftCell="E1" zoomScale="58" workbookViewId="0">
      <selection activeCell="P12" sqref="P12:Q12"/>
    </sheetView>
  </sheetViews>
  <sheetFormatPr defaultColWidth="9.140625" defaultRowHeight="15" x14ac:dyDescent="0.25"/>
  <cols>
    <col min="1" max="1" width="8.5703125" style="3" bestFit="1" customWidth="1"/>
    <col min="2" max="2" width="82.7109375" style="3" customWidth="1"/>
    <col min="3" max="4" width="15.28515625" style="3" bestFit="1" customWidth="1"/>
    <col min="5" max="5" width="14" style="3" bestFit="1" customWidth="1"/>
    <col min="6" max="6" width="14.28515625" style="3" customWidth="1"/>
    <col min="7" max="7" width="16.42578125" style="3" customWidth="1"/>
    <col min="8" max="8" width="14.140625" style="3" customWidth="1"/>
    <col min="9" max="13" width="13.42578125" style="3" bestFit="1" customWidth="1"/>
    <col min="14" max="14" width="14.7109375" style="3" customWidth="1"/>
    <col min="15" max="15" width="14" style="3" bestFit="1" customWidth="1"/>
    <col min="16" max="17" width="14.5703125" style="128" customWidth="1"/>
    <col min="18" max="16384" width="9.140625" style="3"/>
  </cols>
  <sheetData>
    <row r="1" spans="1:17" x14ac:dyDescent="0.25">
      <c r="A1" s="6" t="s">
        <v>52</v>
      </c>
      <c r="B1" s="14" t="s">
        <v>665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94"/>
      <c r="Q1" s="94"/>
    </row>
    <row r="2" spans="1:17" x14ac:dyDescent="0.25">
      <c r="A2" s="6" t="s">
        <v>38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94"/>
      <c r="Q2" s="94"/>
    </row>
    <row r="3" spans="1:17" x14ac:dyDescent="0.25">
      <c r="A3" s="6" t="s">
        <v>53</v>
      </c>
      <c r="B3" s="4" t="s">
        <v>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94"/>
      <c r="Q3" s="94"/>
    </row>
    <row r="4" spans="1:17" x14ac:dyDescent="0.25">
      <c r="A4" s="5" t="s">
        <v>36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94"/>
      <c r="Q4" s="94"/>
    </row>
    <row r="5" spans="1:17" x14ac:dyDescent="0.25">
      <c r="A5" s="6" t="s">
        <v>77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94"/>
      <c r="Q5" s="94"/>
    </row>
    <row r="6" spans="1:17" x14ac:dyDescent="0.25">
      <c r="A6" s="6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94"/>
      <c r="Q6" s="94"/>
    </row>
    <row r="7" spans="1:17" x14ac:dyDescent="0.25">
      <c r="A7" s="6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94"/>
      <c r="Q7" s="94"/>
    </row>
    <row r="8" spans="1:17" x14ac:dyDescent="0.25">
      <c r="A8" s="6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94"/>
      <c r="Q8" s="94"/>
    </row>
    <row r="9" spans="1:17" x14ac:dyDescent="0.25">
      <c r="A9" s="6"/>
      <c r="B9" s="249" t="s">
        <v>65</v>
      </c>
      <c r="C9" s="251" t="str">
        <f>$B$3</f>
        <v>TK/0</v>
      </c>
      <c r="D9" s="251" t="str">
        <f t="shared" ref="D9:O9" si="0">$B$3</f>
        <v>TK/0</v>
      </c>
      <c r="E9" s="251" t="str">
        <f t="shared" si="0"/>
        <v>TK/0</v>
      </c>
      <c r="F9" s="251" t="str">
        <f t="shared" si="0"/>
        <v>TK/0</v>
      </c>
      <c r="G9" s="251" t="str">
        <f t="shared" si="0"/>
        <v>TK/0</v>
      </c>
      <c r="H9" s="251" t="str">
        <f t="shared" si="0"/>
        <v>TK/0</v>
      </c>
      <c r="I9" s="251" t="str">
        <f t="shared" si="0"/>
        <v>TK/0</v>
      </c>
      <c r="J9" s="251" t="str">
        <f t="shared" si="0"/>
        <v>TK/0</v>
      </c>
      <c r="K9" s="251" t="str">
        <f t="shared" si="0"/>
        <v>TK/0</v>
      </c>
      <c r="L9" s="251" t="str">
        <f t="shared" si="0"/>
        <v>TK/0</v>
      </c>
      <c r="M9" s="251" t="str">
        <f t="shared" si="0"/>
        <v>TK/0</v>
      </c>
      <c r="N9" s="251" t="str">
        <f t="shared" si="0"/>
        <v>TK/0</v>
      </c>
      <c r="O9" s="251" t="str">
        <f t="shared" si="0"/>
        <v>TK/0</v>
      </c>
      <c r="P9" s="94"/>
      <c r="Q9" s="94"/>
    </row>
    <row r="10" spans="1:17" x14ac:dyDescent="0.25">
      <c r="A10" s="6"/>
      <c r="B10" s="250" t="s">
        <v>104</v>
      </c>
      <c r="C10" s="252">
        <v>12</v>
      </c>
      <c r="D10" s="252">
        <v>12</v>
      </c>
      <c r="E10" s="252">
        <v>12</v>
      </c>
      <c r="F10" s="252">
        <v>12</v>
      </c>
      <c r="G10" s="252">
        <v>12</v>
      </c>
      <c r="H10" s="252">
        <v>12</v>
      </c>
      <c r="I10" s="252">
        <v>12</v>
      </c>
      <c r="J10" s="252">
        <v>12</v>
      </c>
      <c r="K10" s="252">
        <v>12</v>
      </c>
      <c r="L10" s="252">
        <v>12</v>
      </c>
      <c r="M10" s="252">
        <v>12</v>
      </c>
      <c r="N10" s="252">
        <v>12</v>
      </c>
      <c r="O10" s="252">
        <v>12</v>
      </c>
      <c r="P10" s="94"/>
      <c r="Q10" s="94"/>
    </row>
    <row r="11" spans="1:17" x14ac:dyDescent="0.25">
      <c r="A11" s="23"/>
      <c r="B11" s="250" t="s">
        <v>690</v>
      </c>
      <c r="C11" s="252">
        <v>1</v>
      </c>
      <c r="D11" s="252">
        <v>2</v>
      </c>
      <c r="E11" s="252">
        <v>3</v>
      </c>
      <c r="F11" s="252">
        <v>4</v>
      </c>
      <c r="G11" s="252">
        <v>5</v>
      </c>
      <c r="H11" s="252">
        <v>6</v>
      </c>
      <c r="I11" s="252">
        <v>7</v>
      </c>
      <c r="J11" s="252">
        <v>8</v>
      </c>
      <c r="K11" s="252">
        <v>9</v>
      </c>
      <c r="L11" s="252">
        <v>10</v>
      </c>
      <c r="M11" s="252">
        <v>11</v>
      </c>
      <c r="N11" s="252">
        <v>12</v>
      </c>
      <c r="O11" s="252">
        <v>12</v>
      </c>
      <c r="P11" s="19"/>
      <c r="Q11" s="19"/>
    </row>
    <row r="12" spans="1:17" ht="21.95" customHeight="1" x14ac:dyDescent="0.25">
      <c r="A12" s="27" t="s">
        <v>0</v>
      </c>
      <c r="B12" s="28" t="s">
        <v>92</v>
      </c>
      <c r="C12" s="29" t="s">
        <v>39</v>
      </c>
      <c r="D12" s="29" t="s">
        <v>40</v>
      </c>
      <c r="E12" s="29" t="s">
        <v>41</v>
      </c>
      <c r="F12" s="29" t="s">
        <v>2</v>
      </c>
      <c r="G12" s="29" t="s">
        <v>42</v>
      </c>
      <c r="H12" s="29" t="s">
        <v>43</v>
      </c>
      <c r="I12" s="29" t="s">
        <v>44</v>
      </c>
      <c r="J12" s="29" t="s">
        <v>45</v>
      </c>
      <c r="K12" s="29" t="s">
        <v>46</v>
      </c>
      <c r="L12" s="29" t="s">
        <v>47</v>
      </c>
      <c r="M12" s="29" t="s">
        <v>48</v>
      </c>
      <c r="N12" s="29" t="s">
        <v>49</v>
      </c>
      <c r="O12" s="29" t="s">
        <v>427</v>
      </c>
      <c r="P12" s="122" t="s">
        <v>641</v>
      </c>
      <c r="Q12" s="122" t="s">
        <v>2</v>
      </c>
    </row>
    <row r="13" spans="1:17" ht="20.100000000000001" customHeight="1" x14ac:dyDescent="0.25">
      <c r="A13" s="30">
        <v>1</v>
      </c>
      <c r="B13" s="31" t="s">
        <v>9</v>
      </c>
      <c r="C13" s="150"/>
      <c r="D13" s="92"/>
      <c r="E13" s="162"/>
      <c r="F13" s="92"/>
      <c r="G13" s="92"/>
      <c r="H13" s="92"/>
      <c r="I13" s="92"/>
      <c r="J13" s="92">
        <v>454545</v>
      </c>
      <c r="K13" s="92">
        <v>2300000</v>
      </c>
      <c r="L13" s="92">
        <v>2300000</v>
      </c>
      <c r="M13" s="92">
        <v>2250000</v>
      </c>
      <c r="N13" s="92">
        <v>2200000</v>
      </c>
      <c r="O13" s="32">
        <f>SUM(C13:N13)</f>
        <v>9504545</v>
      </c>
      <c r="P13" s="123">
        <f t="shared" ref="P13:P18" si="1">Q13</f>
        <v>0</v>
      </c>
      <c r="Q13" s="123">
        <f t="shared" ref="Q13:Q18" si="2">G13*12</f>
        <v>0</v>
      </c>
    </row>
    <row r="14" spans="1:17" ht="20.100000000000001" customHeight="1" x14ac:dyDescent="0.25">
      <c r="A14" s="30">
        <v>2</v>
      </c>
      <c r="B14" s="31" t="s">
        <v>10</v>
      </c>
      <c r="C14" s="33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32"/>
      <c r="P14" s="123">
        <f t="shared" si="1"/>
        <v>0</v>
      </c>
      <c r="Q14" s="123">
        <f t="shared" si="2"/>
        <v>0</v>
      </c>
    </row>
    <row r="15" spans="1:17" ht="20.100000000000001" customHeight="1" x14ac:dyDescent="0.25">
      <c r="A15" s="30">
        <v>3</v>
      </c>
      <c r="B15" s="31" t="s">
        <v>11</v>
      </c>
      <c r="C15" s="33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32">
        <f>SUM(C15:N15)</f>
        <v>0</v>
      </c>
      <c r="P15" s="123">
        <f t="shared" si="1"/>
        <v>0</v>
      </c>
      <c r="Q15" s="123">
        <f t="shared" si="2"/>
        <v>0</v>
      </c>
    </row>
    <row r="16" spans="1:17" ht="20.100000000000001" customHeight="1" x14ac:dyDescent="0.25">
      <c r="A16" s="30">
        <v>4</v>
      </c>
      <c r="B16" s="31" t="s">
        <v>12</v>
      </c>
      <c r="C16" s="33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32"/>
      <c r="P16" s="123">
        <f t="shared" si="1"/>
        <v>0</v>
      </c>
      <c r="Q16" s="123">
        <f t="shared" si="2"/>
        <v>0</v>
      </c>
    </row>
    <row r="17" spans="1:22" ht="20.100000000000001" customHeight="1" x14ac:dyDescent="0.25">
      <c r="A17" s="30">
        <v>5</v>
      </c>
      <c r="B17" s="31" t="s">
        <v>13</v>
      </c>
      <c r="C17" s="33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32">
        <f>SUM(C17:N17)</f>
        <v>0</v>
      </c>
      <c r="P17" s="123">
        <f t="shared" si="1"/>
        <v>0</v>
      </c>
      <c r="Q17" s="123">
        <f t="shared" si="2"/>
        <v>0</v>
      </c>
    </row>
    <row r="18" spans="1:22" s="2" customFormat="1" ht="30" x14ac:dyDescent="0.25">
      <c r="A18" s="34">
        <v>6</v>
      </c>
      <c r="B18" s="35" t="s">
        <v>14</v>
      </c>
      <c r="C18" s="33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36"/>
      <c r="P18" s="123">
        <f t="shared" si="1"/>
        <v>0</v>
      </c>
      <c r="Q18" s="123">
        <f t="shared" si="2"/>
        <v>0</v>
      </c>
    </row>
    <row r="19" spans="1:22" ht="20.100000000000001" customHeight="1" x14ac:dyDescent="0.25">
      <c r="A19" s="30">
        <v>7</v>
      </c>
      <c r="B19" s="31" t="s">
        <v>15</v>
      </c>
      <c r="C19" s="37">
        <f>SUM(C13:C18)</f>
        <v>0</v>
      </c>
      <c r="D19" s="37">
        <f>SUM(D13:D18)</f>
        <v>0</v>
      </c>
      <c r="E19" s="37">
        <f t="shared" ref="E19:N19" si="3">SUM(E13:E18)</f>
        <v>0</v>
      </c>
      <c r="F19" s="37">
        <f t="shared" si="3"/>
        <v>0</v>
      </c>
      <c r="G19" s="37">
        <f t="shared" si="3"/>
        <v>0</v>
      </c>
      <c r="H19" s="37">
        <f t="shared" si="3"/>
        <v>0</v>
      </c>
      <c r="I19" s="37">
        <f t="shared" si="3"/>
        <v>0</v>
      </c>
      <c r="J19" s="37">
        <f t="shared" si="3"/>
        <v>454545</v>
      </c>
      <c r="K19" s="37">
        <f t="shared" si="3"/>
        <v>2300000</v>
      </c>
      <c r="L19" s="37">
        <f t="shared" si="3"/>
        <v>2300000</v>
      </c>
      <c r="M19" s="37">
        <f t="shared" si="3"/>
        <v>2250000</v>
      </c>
      <c r="N19" s="37">
        <f t="shared" si="3"/>
        <v>2200000</v>
      </c>
      <c r="O19" s="38">
        <f>SUM(O13:O18)</f>
        <v>9504545</v>
      </c>
      <c r="P19" s="103">
        <f>SUM(P13:P18)</f>
        <v>0</v>
      </c>
      <c r="Q19" s="103">
        <f>SUM(Q13:Q18)</f>
        <v>0</v>
      </c>
    </row>
    <row r="20" spans="1:22" ht="20.100000000000001" customHeight="1" x14ac:dyDescent="0.25">
      <c r="A20" s="30">
        <v>8</v>
      </c>
      <c r="B20" s="31" t="s">
        <v>16</v>
      </c>
      <c r="C20" s="33"/>
      <c r="D20" s="33"/>
      <c r="E20" s="33"/>
      <c r="F20" s="33"/>
      <c r="G20" s="33"/>
      <c r="H20" s="33"/>
      <c r="I20" s="33"/>
      <c r="J20" s="33"/>
      <c r="K20" s="26"/>
      <c r="L20" s="26"/>
      <c r="M20" s="26"/>
      <c r="N20" s="26"/>
      <c r="O20" s="32"/>
      <c r="P20" s="110"/>
      <c r="Q20" s="110"/>
    </row>
    <row r="21" spans="1:22" s="55" customFormat="1" ht="20.100000000000001" customHeight="1" x14ac:dyDescent="0.25">
      <c r="A21" s="51">
        <v>9</v>
      </c>
      <c r="B21" s="52" t="s">
        <v>17</v>
      </c>
      <c r="C21" s="259">
        <f>C19+C20</f>
        <v>0</v>
      </c>
      <c r="D21" s="259">
        <f t="shared" ref="D21:N21" si="4">D19+D20</f>
        <v>0</v>
      </c>
      <c r="E21" s="259">
        <f t="shared" si="4"/>
        <v>0</v>
      </c>
      <c r="F21" s="259">
        <f t="shared" si="4"/>
        <v>0</v>
      </c>
      <c r="G21" s="259">
        <f>G19+G20</f>
        <v>0</v>
      </c>
      <c r="H21" s="259">
        <f t="shared" si="4"/>
        <v>0</v>
      </c>
      <c r="I21" s="259">
        <f t="shared" si="4"/>
        <v>0</v>
      </c>
      <c r="J21" s="259">
        <f t="shared" si="4"/>
        <v>454545</v>
      </c>
      <c r="K21" s="259">
        <f t="shared" si="4"/>
        <v>2300000</v>
      </c>
      <c r="L21" s="259">
        <f t="shared" si="4"/>
        <v>2300000</v>
      </c>
      <c r="M21" s="259">
        <f t="shared" si="4"/>
        <v>2250000</v>
      </c>
      <c r="N21" s="259">
        <f t="shared" si="4"/>
        <v>2200000</v>
      </c>
      <c r="O21" s="259">
        <f>O19+O20</f>
        <v>9504545</v>
      </c>
      <c r="P21" s="103">
        <f>P19+P20</f>
        <v>0</v>
      </c>
      <c r="Q21" s="103">
        <f>Q19+Q20</f>
        <v>0</v>
      </c>
    </row>
    <row r="22" spans="1:22" ht="20.100000000000001" customHeight="1" x14ac:dyDescent="0.25">
      <c r="A22" s="30"/>
      <c r="B22" s="39" t="s">
        <v>18</v>
      </c>
      <c r="C22" s="260"/>
      <c r="D22" s="260"/>
      <c r="E22" s="260"/>
      <c r="F22" s="260"/>
      <c r="G22" s="260"/>
      <c r="H22" s="260"/>
      <c r="I22" s="260"/>
      <c r="J22" s="260"/>
      <c r="K22" s="261"/>
      <c r="L22" s="261"/>
      <c r="M22" s="261"/>
      <c r="N22" s="261"/>
      <c r="O22" s="258"/>
      <c r="P22" s="110"/>
      <c r="Q22" s="110"/>
      <c r="R22" s="11"/>
      <c r="S22" s="11"/>
      <c r="T22" s="11"/>
      <c r="U22" s="11"/>
      <c r="V22" s="11"/>
    </row>
    <row r="23" spans="1:22" ht="20.100000000000001" customHeight="1" x14ac:dyDescent="0.25">
      <c r="A23" s="30">
        <v>10</v>
      </c>
      <c r="B23" s="31" t="s">
        <v>19</v>
      </c>
      <c r="C23" s="257">
        <f>IF(C21*5%&lt;500000,C21*5%,500000)</f>
        <v>0</v>
      </c>
      <c r="D23" s="257">
        <f t="shared" ref="D23:O23" si="5">IF(D21*5%&lt;500000,D21*5%,500000)</f>
        <v>0</v>
      </c>
      <c r="E23" s="257">
        <f t="shared" si="5"/>
        <v>0</v>
      </c>
      <c r="F23" s="257">
        <f t="shared" si="5"/>
        <v>0</v>
      </c>
      <c r="G23" s="257">
        <f>IF(G21*5%&lt;500000,G21*5%,500000)</f>
        <v>0</v>
      </c>
      <c r="H23" s="257">
        <f t="shared" si="5"/>
        <v>0</v>
      </c>
      <c r="I23" s="257">
        <f t="shared" si="5"/>
        <v>0</v>
      </c>
      <c r="J23" s="257">
        <f t="shared" si="5"/>
        <v>22727.25</v>
      </c>
      <c r="K23" s="257">
        <f t="shared" si="5"/>
        <v>115000</v>
      </c>
      <c r="L23" s="257">
        <f t="shared" si="5"/>
        <v>115000</v>
      </c>
      <c r="M23" s="257">
        <f t="shared" si="5"/>
        <v>112500</v>
      </c>
      <c r="N23" s="257">
        <f t="shared" si="5"/>
        <v>110000</v>
      </c>
      <c r="O23" s="257">
        <f>IF(O21*5%&lt;6000000,O21*5%,6000000)</f>
        <v>475227.25</v>
      </c>
      <c r="P23" s="110">
        <f>IF(P21*5%&lt;6000000,P21*5%,6000000)</f>
        <v>0</v>
      </c>
      <c r="Q23" s="110">
        <f>IF(Q21*5%&lt;6000000,Q21*5%,6000000)</f>
        <v>0</v>
      </c>
      <c r="R23" s="11"/>
      <c r="S23" s="11"/>
      <c r="T23" s="11"/>
      <c r="U23" s="11"/>
      <c r="V23" s="11"/>
    </row>
    <row r="24" spans="1:22" ht="20.100000000000001" customHeight="1" x14ac:dyDescent="0.25">
      <c r="A24" s="30">
        <v>11</v>
      </c>
      <c r="B24" s="31" t="s">
        <v>20</v>
      </c>
      <c r="C24" s="260"/>
      <c r="D24" s="260"/>
      <c r="E24" s="260"/>
      <c r="F24" s="260"/>
      <c r="G24" s="262"/>
      <c r="H24" s="262"/>
      <c r="I24" s="260"/>
      <c r="J24" s="260"/>
      <c r="K24" s="261"/>
      <c r="L24" s="261"/>
      <c r="M24" s="261"/>
      <c r="N24" s="261"/>
      <c r="O24" s="262"/>
      <c r="P24" s="110"/>
      <c r="Q24" s="110"/>
      <c r="R24" s="11"/>
      <c r="S24" s="11"/>
      <c r="T24" s="11"/>
      <c r="U24" s="11"/>
      <c r="V24" s="11"/>
    </row>
    <row r="25" spans="1:22" ht="20.100000000000001" customHeight="1" x14ac:dyDescent="0.25">
      <c r="A25" s="30">
        <v>12</v>
      </c>
      <c r="B25" s="31" t="s">
        <v>21</v>
      </c>
      <c r="C25" s="260">
        <v>0</v>
      </c>
      <c r="D25" s="260">
        <v>0</v>
      </c>
      <c r="E25" s="260">
        <v>0</v>
      </c>
      <c r="F25" s="260">
        <v>0</v>
      </c>
      <c r="G25" s="260">
        <v>0</v>
      </c>
      <c r="H25" s="260">
        <v>0</v>
      </c>
      <c r="I25" s="260">
        <v>0</v>
      </c>
      <c r="J25" s="260">
        <v>0</v>
      </c>
      <c r="K25" s="260">
        <v>0</v>
      </c>
      <c r="L25" s="260">
        <v>0</v>
      </c>
      <c r="M25" s="260">
        <v>0</v>
      </c>
      <c r="N25" s="260">
        <v>0</v>
      </c>
      <c r="O25" s="258">
        <f>SUM(C25:N25)</f>
        <v>0</v>
      </c>
      <c r="P25" s="110"/>
      <c r="Q25" s="110"/>
      <c r="R25" s="11"/>
      <c r="S25" s="11"/>
      <c r="T25" s="11"/>
      <c r="U25" s="11"/>
      <c r="V25" s="11"/>
    </row>
    <row r="26" spans="1:22" ht="20.100000000000001" customHeight="1" x14ac:dyDescent="0.25">
      <c r="A26" s="30">
        <v>13</v>
      </c>
      <c r="B26" s="31" t="s">
        <v>22</v>
      </c>
      <c r="C26" s="257">
        <f t="shared" ref="C26:N26" si="6">SUM(C23:C25)</f>
        <v>0</v>
      </c>
      <c r="D26" s="257">
        <f t="shared" si="6"/>
        <v>0</v>
      </c>
      <c r="E26" s="257">
        <f t="shared" si="6"/>
        <v>0</v>
      </c>
      <c r="F26" s="257">
        <f t="shared" si="6"/>
        <v>0</v>
      </c>
      <c r="G26" s="257">
        <f>SUM(G23:G25)</f>
        <v>0</v>
      </c>
      <c r="H26" s="257">
        <f t="shared" si="6"/>
        <v>0</v>
      </c>
      <c r="I26" s="257">
        <f t="shared" si="6"/>
        <v>0</v>
      </c>
      <c r="J26" s="257">
        <f t="shared" si="6"/>
        <v>22727.25</v>
      </c>
      <c r="K26" s="257">
        <f t="shared" si="6"/>
        <v>115000</v>
      </c>
      <c r="L26" s="257">
        <f t="shared" si="6"/>
        <v>115000</v>
      </c>
      <c r="M26" s="257">
        <f t="shared" si="6"/>
        <v>112500</v>
      </c>
      <c r="N26" s="257">
        <f t="shared" si="6"/>
        <v>110000</v>
      </c>
      <c r="O26" s="263">
        <f>SUM(O22:O25)</f>
        <v>475227.25</v>
      </c>
      <c r="P26" s="103">
        <f>SUM(P23:P25)</f>
        <v>0</v>
      </c>
      <c r="Q26" s="103">
        <f>SUM(Q23:Q25)</f>
        <v>0</v>
      </c>
      <c r="R26" s="11"/>
      <c r="S26" s="11"/>
      <c r="T26" s="11"/>
      <c r="U26" s="11"/>
      <c r="V26" s="11"/>
    </row>
    <row r="27" spans="1:22" ht="20.100000000000001" customHeight="1" x14ac:dyDescent="0.25">
      <c r="A27" s="30"/>
      <c r="B27" s="39" t="s">
        <v>23</v>
      </c>
      <c r="C27" s="260"/>
      <c r="D27" s="260"/>
      <c r="E27" s="260"/>
      <c r="F27" s="260"/>
      <c r="G27" s="260"/>
      <c r="H27" s="260"/>
      <c r="I27" s="260"/>
      <c r="J27" s="260"/>
      <c r="K27" s="261"/>
      <c r="L27" s="261"/>
      <c r="M27" s="261"/>
      <c r="N27" s="261"/>
      <c r="O27" s="258"/>
      <c r="P27" s="110"/>
      <c r="Q27" s="110"/>
      <c r="R27" s="11"/>
      <c r="S27" s="11"/>
      <c r="T27" s="11"/>
      <c r="U27" s="11"/>
      <c r="V27" s="11"/>
    </row>
    <row r="28" spans="1:22" s="55" customFormat="1" ht="20.100000000000001" customHeight="1" x14ac:dyDescent="0.25">
      <c r="A28" s="51">
        <v>14</v>
      </c>
      <c r="B28" s="52" t="s">
        <v>24</v>
      </c>
      <c r="C28" s="255">
        <f>C21-C26</f>
        <v>0</v>
      </c>
      <c r="D28" s="255">
        <f t="shared" ref="D28:O28" si="7">D21-D26</f>
        <v>0</v>
      </c>
      <c r="E28" s="255">
        <f t="shared" si="7"/>
        <v>0</v>
      </c>
      <c r="F28" s="255">
        <f t="shared" si="7"/>
        <v>0</v>
      </c>
      <c r="G28" s="255">
        <f>G21-G26</f>
        <v>0</v>
      </c>
      <c r="H28" s="255">
        <f t="shared" si="7"/>
        <v>0</v>
      </c>
      <c r="I28" s="255">
        <f t="shared" si="7"/>
        <v>0</v>
      </c>
      <c r="J28" s="255">
        <f t="shared" si="7"/>
        <v>431817.75</v>
      </c>
      <c r="K28" s="255">
        <f t="shared" si="7"/>
        <v>2185000</v>
      </c>
      <c r="L28" s="255">
        <f t="shared" si="7"/>
        <v>2185000</v>
      </c>
      <c r="M28" s="255">
        <f t="shared" si="7"/>
        <v>2137500</v>
      </c>
      <c r="N28" s="255">
        <f t="shared" si="7"/>
        <v>2090000</v>
      </c>
      <c r="O28" s="255">
        <f t="shared" si="7"/>
        <v>9029317.75</v>
      </c>
      <c r="P28" s="103">
        <f>P21-P26</f>
        <v>0</v>
      </c>
      <c r="Q28" s="103">
        <f>Q21-Q26</f>
        <v>0</v>
      </c>
    </row>
    <row r="29" spans="1:22" ht="20.100000000000001" customHeight="1" x14ac:dyDescent="0.25">
      <c r="A29" s="30">
        <v>15</v>
      </c>
      <c r="B29" s="31" t="s">
        <v>25</v>
      </c>
      <c r="C29" s="260"/>
      <c r="D29" s="260"/>
      <c r="E29" s="260"/>
      <c r="F29" s="260"/>
      <c r="G29" s="260"/>
      <c r="H29" s="260"/>
      <c r="I29" s="260"/>
      <c r="J29" s="260"/>
      <c r="K29" s="261"/>
      <c r="L29" s="261"/>
      <c r="M29" s="261"/>
      <c r="N29" s="261"/>
      <c r="O29" s="258"/>
      <c r="P29" s="110"/>
      <c r="Q29" s="110"/>
      <c r="R29" s="11"/>
      <c r="S29" s="11"/>
      <c r="T29" s="11"/>
      <c r="U29" s="11"/>
      <c r="V29" s="11"/>
    </row>
    <row r="30" spans="1:22" s="9" customFormat="1" ht="30" x14ac:dyDescent="0.25">
      <c r="A30" s="41">
        <v>16</v>
      </c>
      <c r="B30" s="42" t="s">
        <v>26</v>
      </c>
      <c r="C30" s="253">
        <f>SUM(C28)*C10/C11</f>
        <v>0</v>
      </c>
      <c r="D30" s="253">
        <f>SUM(C28:D28)*D10/D11</f>
        <v>0</v>
      </c>
      <c r="E30" s="253">
        <f>SUM(C28:E28)*E10/E11</f>
        <v>0</v>
      </c>
      <c r="F30" s="253">
        <f>SUM(C28:F28)*F10/F11</f>
        <v>0</v>
      </c>
      <c r="G30" s="253">
        <f>SUM(C28:G28)*G10/G11</f>
        <v>0</v>
      </c>
      <c r="H30" s="253">
        <f>SUM(C28:H28)*H10/H11</f>
        <v>0</v>
      </c>
      <c r="I30" s="253">
        <f>SUM(C28:I28)*I10/I11</f>
        <v>0</v>
      </c>
      <c r="J30" s="253">
        <f>SUM(C28:J28)*J10/J11</f>
        <v>647726.625</v>
      </c>
      <c r="K30" s="253">
        <f>SUM(C28:K28)*K10/K11</f>
        <v>3489090.3333333335</v>
      </c>
      <c r="L30" s="253">
        <f>SUM(C28:L28)*L10/L11</f>
        <v>5762181.2999999998</v>
      </c>
      <c r="M30" s="253">
        <f>SUM(C28:M28)*M10/M11</f>
        <v>7570164.8181818184</v>
      </c>
      <c r="N30" s="253">
        <f>SUM(C28:N28)*N10/N11</f>
        <v>9029317.75</v>
      </c>
      <c r="O30" s="254">
        <f>O28</f>
        <v>9029317.75</v>
      </c>
      <c r="P30" s="108">
        <f>P28</f>
        <v>0</v>
      </c>
      <c r="Q30" s="108">
        <f>Q28</f>
        <v>0</v>
      </c>
      <c r="R30" s="21"/>
      <c r="S30" s="21"/>
      <c r="T30" s="21"/>
      <c r="U30" s="21"/>
      <c r="V30" s="21"/>
    </row>
    <row r="31" spans="1:22" s="55" customFormat="1" ht="20.100000000000001" customHeight="1" x14ac:dyDescent="0.25">
      <c r="A31" s="51">
        <v>17</v>
      </c>
      <c r="B31" s="52" t="s">
        <v>27</v>
      </c>
      <c r="C31" s="255">
        <f t="shared" ref="C31:O31" si="8">IF(C30&gt;0,VLOOKUP(C9,$B$47:$C$59,2,FALSE),0)</f>
        <v>0</v>
      </c>
      <c r="D31" s="255">
        <f t="shared" si="8"/>
        <v>0</v>
      </c>
      <c r="E31" s="255">
        <f t="shared" si="8"/>
        <v>0</v>
      </c>
      <c r="F31" s="255">
        <f t="shared" si="8"/>
        <v>0</v>
      </c>
      <c r="G31" s="255">
        <f>IF(G30&gt;0,VLOOKUP(G9,$B$47:$C$59,2,FALSE),0)</f>
        <v>0</v>
      </c>
      <c r="H31" s="255">
        <f t="shared" si="8"/>
        <v>0</v>
      </c>
      <c r="I31" s="255">
        <f t="shared" si="8"/>
        <v>0</v>
      </c>
      <c r="J31" s="255">
        <f t="shared" si="8"/>
        <v>54000000</v>
      </c>
      <c r="K31" s="255">
        <f t="shared" si="8"/>
        <v>54000000</v>
      </c>
      <c r="L31" s="255">
        <f t="shared" si="8"/>
        <v>54000000</v>
      </c>
      <c r="M31" s="255">
        <f t="shared" si="8"/>
        <v>54000000</v>
      </c>
      <c r="N31" s="255">
        <f t="shared" si="8"/>
        <v>54000000</v>
      </c>
      <c r="O31" s="255">
        <f t="shared" si="8"/>
        <v>54000000</v>
      </c>
      <c r="P31" s="103">
        <f>O31</f>
        <v>54000000</v>
      </c>
      <c r="Q31" s="103">
        <f>P31</f>
        <v>54000000</v>
      </c>
    </row>
    <row r="32" spans="1:22" ht="20.100000000000001" customHeight="1" x14ac:dyDescent="0.25">
      <c r="A32" s="30">
        <v>18</v>
      </c>
      <c r="B32" s="31" t="s">
        <v>28</v>
      </c>
      <c r="C32" s="256">
        <f>ROUNDDOWN(IF(C30&lt;=C31,0,IF(C30&gt;C31,C30-C31)),-3)</f>
        <v>0</v>
      </c>
      <c r="D32" s="256">
        <f t="shared" ref="D32:O32" si="9">ROUNDDOWN(IF(D30&lt;=D31,0,IF(D30&gt;D31,D30-D31)),-3)</f>
        <v>0</v>
      </c>
      <c r="E32" s="256">
        <f t="shared" si="9"/>
        <v>0</v>
      </c>
      <c r="F32" s="256">
        <f t="shared" si="9"/>
        <v>0</v>
      </c>
      <c r="G32" s="256">
        <f t="shared" si="9"/>
        <v>0</v>
      </c>
      <c r="H32" s="256">
        <f t="shared" si="9"/>
        <v>0</v>
      </c>
      <c r="I32" s="256">
        <f>ROUNDDOWN(IF(I30&lt;=I31,0,IF(I30&gt;I31,I30-I31)),-3)</f>
        <v>0</v>
      </c>
      <c r="J32" s="256">
        <f t="shared" si="9"/>
        <v>0</v>
      </c>
      <c r="K32" s="256">
        <f t="shared" si="9"/>
        <v>0</v>
      </c>
      <c r="L32" s="256">
        <f t="shared" si="9"/>
        <v>0</v>
      </c>
      <c r="M32" s="256">
        <f t="shared" si="9"/>
        <v>0</v>
      </c>
      <c r="N32" s="256">
        <f t="shared" si="9"/>
        <v>0</v>
      </c>
      <c r="O32" s="256">
        <f t="shared" si="9"/>
        <v>0</v>
      </c>
      <c r="P32" s="103">
        <f t="shared" ref="D32:Q32" si="10">ROUNDDOWN(IF(P30&lt;=P31,0,IF(P30&gt;P31,P30-P31)),-3)</f>
        <v>0</v>
      </c>
      <c r="Q32" s="103">
        <f t="shared" si="10"/>
        <v>0</v>
      </c>
      <c r="R32" s="11"/>
      <c r="S32" s="11"/>
      <c r="T32" s="11"/>
      <c r="U32" s="11"/>
      <c r="V32" s="11"/>
    </row>
    <row r="33" spans="1:22" ht="20.100000000000001" customHeight="1" x14ac:dyDescent="0.25">
      <c r="A33" s="30">
        <v>19</v>
      </c>
      <c r="B33" s="31" t="s">
        <v>29</v>
      </c>
      <c r="C33" s="257">
        <f t="shared" ref="C33:N33" si="11">IF(C32&lt;0,0,IF(C32&lt;60000000,C32*5%,IF(C32&lt;250000000,(C32-60000000)*15%+3000000,IF(C32&lt;500000000,(C32-250000000)*25%+31500000,IF(C32&lt;5000000000,(C32-500000000)*30%+94000000,IF(C32&gt;5000000000,(C32-500000000)*35%+1444000000))))))</f>
        <v>0</v>
      </c>
      <c r="D33" s="257">
        <f t="shared" si="11"/>
        <v>0</v>
      </c>
      <c r="E33" s="257">
        <f t="shared" si="11"/>
        <v>0</v>
      </c>
      <c r="F33" s="257">
        <f t="shared" si="11"/>
        <v>0</v>
      </c>
      <c r="G33" s="257">
        <f t="shared" si="11"/>
        <v>0</v>
      </c>
      <c r="H33" s="257">
        <f t="shared" si="11"/>
        <v>0</v>
      </c>
      <c r="I33" s="257">
        <f t="shared" si="11"/>
        <v>0</v>
      </c>
      <c r="J33" s="257">
        <f t="shared" si="11"/>
        <v>0</v>
      </c>
      <c r="K33" s="257">
        <f t="shared" si="11"/>
        <v>0</v>
      </c>
      <c r="L33" s="257">
        <f t="shared" si="11"/>
        <v>0</v>
      </c>
      <c r="M33" s="257">
        <f t="shared" si="11"/>
        <v>0</v>
      </c>
      <c r="N33" s="257">
        <f t="shared" si="11"/>
        <v>0</v>
      </c>
      <c r="O33" s="257">
        <f>IF(O32&lt;0,0,IF(O32&lt;60000000,O32*5%,IF(O32&lt;250000000,(O32-60000000)*15%+3000000,IF(O32&lt;500000000,(O32-250000000)*25%+31500000,IF(O32&lt;5000000000,(O32-500000000)*30%+94000000,IF(O32&gt;5000000000,(O32-500000000)*35%+1444000000))))))</f>
        <v>0</v>
      </c>
      <c r="P33" s="103">
        <f>IF(P32&lt;0,0,IF(P32&lt;50000000,P32*5%,IF(P32&lt;250000000,(P32-50000000)*15%+2500000,IF(P32&lt;500000000,(P32-250000000)*25%+32500000,IF(P32&gt;500000000,(P32-500000000)*30%+95000000)))))</f>
        <v>0</v>
      </c>
      <c r="Q33" s="103">
        <f>IF(Q32&lt;0,0,IF(Q32&lt;50000000,Q32*5%,IF(Q32&lt;250000000,(Q32-50000000)*15%+2500000,IF(Q32&lt;500000000,(Q32-250000000)*25%+32500000,IF(Q32&gt;500000000,(Q32-500000000)*30%+95000000)))))</f>
        <v>0</v>
      </c>
      <c r="R33" s="11"/>
      <c r="S33" s="11"/>
      <c r="T33" s="11"/>
      <c r="U33" s="11"/>
      <c r="V33" s="11"/>
    </row>
    <row r="34" spans="1:22" ht="20.100000000000001" customHeight="1" x14ac:dyDescent="0.25">
      <c r="A34" s="30">
        <v>20</v>
      </c>
      <c r="B34" s="31" t="s">
        <v>30</v>
      </c>
      <c r="C34" s="260"/>
      <c r="D34" s="260"/>
      <c r="E34" s="260"/>
      <c r="F34" s="260"/>
      <c r="G34" s="260"/>
      <c r="H34" s="260"/>
      <c r="I34" s="260"/>
      <c r="J34" s="260"/>
      <c r="K34" s="261"/>
      <c r="L34" s="261"/>
      <c r="M34" s="261"/>
      <c r="N34" s="261"/>
      <c r="O34" s="256"/>
      <c r="P34" s="110"/>
      <c r="Q34" s="110"/>
      <c r="R34" s="11"/>
      <c r="S34" s="11"/>
      <c r="T34" s="11"/>
      <c r="U34" s="11"/>
      <c r="V34" s="11"/>
    </row>
    <row r="35" spans="1:22" s="55" customFormat="1" ht="20.100000000000001" customHeight="1" x14ac:dyDescent="0.25">
      <c r="A35" s="51">
        <v>21</v>
      </c>
      <c r="B35" s="52" t="s">
        <v>31</v>
      </c>
      <c r="C35" s="255">
        <f>C33-C34</f>
        <v>0</v>
      </c>
      <c r="D35" s="255">
        <f t="shared" ref="D35:M35" si="12">D33-D34</f>
        <v>0</v>
      </c>
      <c r="E35" s="255">
        <f t="shared" si="12"/>
        <v>0</v>
      </c>
      <c r="F35" s="255">
        <f t="shared" si="12"/>
        <v>0</v>
      </c>
      <c r="G35" s="255">
        <f t="shared" si="12"/>
        <v>0</v>
      </c>
      <c r="H35" s="255">
        <f t="shared" si="12"/>
        <v>0</v>
      </c>
      <c r="I35" s="255">
        <f t="shared" si="12"/>
        <v>0</v>
      </c>
      <c r="J35" s="255">
        <f t="shared" si="12"/>
        <v>0</v>
      </c>
      <c r="K35" s="255">
        <f t="shared" si="12"/>
        <v>0</v>
      </c>
      <c r="L35" s="255">
        <f t="shared" si="12"/>
        <v>0</v>
      </c>
      <c r="M35" s="255">
        <f t="shared" si="12"/>
        <v>0</v>
      </c>
      <c r="N35" s="255">
        <f>N33-N34</f>
        <v>0</v>
      </c>
      <c r="O35" s="255">
        <f>O33</f>
        <v>0</v>
      </c>
      <c r="P35" s="103">
        <f>P33+P34</f>
        <v>0</v>
      </c>
      <c r="Q35" s="103">
        <f>Q33+Q34</f>
        <v>0</v>
      </c>
    </row>
    <row r="36" spans="1:22" s="60" customFormat="1" ht="20.100000000000001" customHeight="1" x14ac:dyDescent="0.25">
      <c r="A36" s="57">
        <v>22</v>
      </c>
      <c r="B36" s="58" t="s">
        <v>32</v>
      </c>
      <c r="C36" s="264">
        <f>(C35/C10*C11)*120%</f>
        <v>0</v>
      </c>
      <c r="D36" s="264">
        <f>(D35/D10*D11*120%)-SUM(C36)</f>
        <v>0</v>
      </c>
      <c r="E36" s="264">
        <f>(E35/E10*E11*120%)-SUM(C36:D36)</f>
        <v>0</v>
      </c>
      <c r="F36" s="264">
        <f>(F35/F10*F11*120%)-SUM(C36:E36)</f>
        <v>0</v>
      </c>
      <c r="G36" s="264">
        <f>(G35/G10*G11*120%)-SUM(C36:F36)</f>
        <v>0</v>
      </c>
      <c r="H36" s="264">
        <f>(H35/H10*H11*120%)-SUM(C36:G36)</f>
        <v>0</v>
      </c>
      <c r="I36" s="264">
        <f>(I35/I10*I11*120%)-SUM(C36:H36)</f>
        <v>0</v>
      </c>
      <c r="J36" s="264">
        <f>(J35/J10*J11*120%)-SUM(C36:I36)</f>
        <v>0</v>
      </c>
      <c r="K36" s="264">
        <f>(K35/K10*K11*120%)-SUM(C36:J36)</f>
        <v>0</v>
      </c>
      <c r="L36" s="264">
        <f>(L35/L10*L11*120%)-SUM(C36:K36)</f>
        <v>0</v>
      </c>
      <c r="M36" s="264">
        <f>(M35/M10*M11*120%)-SUM(C36:L36)</f>
        <v>0</v>
      </c>
      <c r="N36" s="264">
        <f>(N35/N10*N11*120%)-SUM(C36:M36)</f>
        <v>0</v>
      </c>
      <c r="O36" s="259">
        <f>SUM(C36:N36)</f>
        <v>0</v>
      </c>
      <c r="P36" s="108">
        <f>P35/12</f>
        <v>0</v>
      </c>
      <c r="Q36" s="108">
        <f>Q35/12</f>
        <v>0</v>
      </c>
    </row>
    <row r="37" spans="1:22" s="60" customFormat="1" ht="20.100000000000001" customHeight="1" x14ac:dyDescent="0.25">
      <c r="A37" s="57"/>
      <c r="B37" s="58" t="s">
        <v>81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61" t="s">
        <v>82</v>
      </c>
      <c r="P37" s="129">
        <f>P35-Q35</f>
        <v>0</v>
      </c>
      <c r="Q37" s="110">
        <v>0</v>
      </c>
    </row>
    <row r="38" spans="1:22" x14ac:dyDescent="0.25">
      <c r="A38" s="47"/>
      <c r="B38" s="31" t="s">
        <v>33</v>
      </c>
      <c r="C38" s="33"/>
      <c r="D38" s="33"/>
      <c r="E38" s="33"/>
      <c r="F38" s="33"/>
      <c r="G38" s="33"/>
      <c r="H38" s="33"/>
      <c r="I38" s="33"/>
      <c r="J38" s="33"/>
      <c r="K38" s="26"/>
      <c r="L38" s="26"/>
      <c r="M38" s="26"/>
      <c r="N38" s="15"/>
      <c r="O38" s="48"/>
      <c r="P38" s="129">
        <v>0</v>
      </c>
      <c r="Q38" s="110"/>
    </row>
    <row r="39" spans="1:22" ht="20.100000000000001" customHeight="1" x14ac:dyDescent="0.25">
      <c r="A39" s="47"/>
      <c r="B39" s="31" t="s">
        <v>75</v>
      </c>
      <c r="C39" s="33"/>
      <c r="D39" s="33"/>
      <c r="E39" s="33"/>
      <c r="F39" s="33"/>
      <c r="G39" s="33"/>
      <c r="H39" s="33"/>
      <c r="I39" s="33"/>
      <c r="J39" s="33"/>
      <c r="K39" s="26"/>
      <c r="L39" s="26"/>
      <c r="M39" s="26"/>
      <c r="N39" s="15"/>
      <c r="O39" s="48"/>
      <c r="P39" s="132">
        <f>P37+Q36-P38</f>
        <v>0</v>
      </c>
      <c r="Q39" s="110"/>
    </row>
    <row r="40" spans="1:22" ht="20.100000000000001" customHeight="1" x14ac:dyDescent="0.25">
      <c r="A40" s="47"/>
      <c r="B40" s="31" t="s">
        <v>76</v>
      </c>
      <c r="C40" s="33"/>
      <c r="D40" s="33"/>
      <c r="E40" s="33"/>
      <c r="F40" s="33"/>
      <c r="G40" s="33"/>
      <c r="H40" s="33"/>
      <c r="I40" s="33"/>
      <c r="J40" s="33"/>
      <c r="K40" s="26"/>
      <c r="L40" s="26"/>
      <c r="M40" s="26"/>
      <c r="N40" s="15"/>
      <c r="O40" s="48"/>
      <c r="P40" s="110"/>
      <c r="Q40" s="110"/>
    </row>
    <row r="41" spans="1:22" s="2" customFormat="1" ht="20.100000000000001" customHeight="1" x14ac:dyDescent="0.25">
      <c r="A41" s="47"/>
      <c r="B41" s="49" t="s">
        <v>34</v>
      </c>
      <c r="C41" s="50">
        <f t="shared" ref="C41:J41" si="13">C21-C25-C36</f>
        <v>0</v>
      </c>
      <c r="D41" s="50">
        <f t="shared" si="13"/>
        <v>0</v>
      </c>
      <c r="E41" s="50">
        <f t="shared" si="13"/>
        <v>0</v>
      </c>
      <c r="F41" s="50">
        <f t="shared" si="13"/>
        <v>0</v>
      </c>
      <c r="G41" s="50">
        <f t="shared" si="13"/>
        <v>0</v>
      </c>
      <c r="H41" s="50">
        <f t="shared" si="13"/>
        <v>0</v>
      </c>
      <c r="I41" s="50">
        <f t="shared" si="13"/>
        <v>0</v>
      </c>
      <c r="J41" s="50">
        <f t="shared" si="13"/>
        <v>454545</v>
      </c>
      <c r="K41" s="50">
        <f>K21-K25-K36</f>
        <v>2300000</v>
      </c>
      <c r="L41" s="50">
        <f>L21-L25-L36</f>
        <v>2300000</v>
      </c>
      <c r="M41" s="50">
        <f>M21-M25-M36</f>
        <v>2250000</v>
      </c>
      <c r="N41" s="50">
        <f>N21-N25-N36</f>
        <v>2200000</v>
      </c>
      <c r="O41" s="50">
        <f>O21-O25-O36-O38</f>
        <v>9504545</v>
      </c>
      <c r="P41" s="126">
        <f>P21-P25-P36</f>
        <v>0</v>
      </c>
      <c r="Q41" s="126">
        <f>Q21-Q25-Q36</f>
        <v>0</v>
      </c>
    </row>
    <row r="42" spans="1:22" x14ac:dyDescent="0.25">
      <c r="P42" s="114"/>
      <c r="Q42" s="114"/>
    </row>
    <row r="43" spans="1:22" x14ac:dyDescent="0.25">
      <c r="P43" s="114"/>
      <c r="Q43" s="114"/>
    </row>
    <row r="44" spans="1:22" x14ac:dyDescent="0.25">
      <c r="P44" s="114"/>
      <c r="Q44" s="114"/>
    </row>
    <row r="45" spans="1:22" x14ac:dyDescent="0.25">
      <c r="P45" s="114"/>
      <c r="Q45" s="114"/>
    </row>
    <row r="46" spans="1:22" x14ac:dyDescent="0.25">
      <c r="P46" s="114"/>
      <c r="Q46" s="114"/>
    </row>
    <row r="47" spans="1:22" s="62" customFormat="1" x14ac:dyDescent="0.25">
      <c r="B47" s="63" t="s">
        <v>65</v>
      </c>
      <c r="C47" s="63" t="s">
        <v>66</v>
      </c>
      <c r="P47" s="118"/>
      <c r="Q47" s="118"/>
    </row>
    <row r="48" spans="1:22" x14ac:dyDescent="0.25">
      <c r="B48" s="8" t="s">
        <v>67</v>
      </c>
      <c r="C48" s="119">
        <v>54000000</v>
      </c>
    </row>
    <row r="49" spans="2:17" x14ac:dyDescent="0.25">
      <c r="B49" s="8" t="s">
        <v>93</v>
      </c>
      <c r="C49" s="119">
        <v>58500000</v>
      </c>
    </row>
    <row r="50" spans="2:17" x14ac:dyDescent="0.25">
      <c r="B50" s="8" t="s">
        <v>94</v>
      </c>
      <c r="C50" s="119">
        <v>63000000</v>
      </c>
    </row>
    <row r="51" spans="2:17" x14ac:dyDescent="0.25">
      <c r="B51" s="8" t="s">
        <v>95</v>
      </c>
      <c r="C51" s="119">
        <v>67500000</v>
      </c>
    </row>
    <row r="52" spans="2:17" x14ac:dyDescent="0.25">
      <c r="B52" s="8" t="s">
        <v>68</v>
      </c>
      <c r="C52" s="119">
        <v>58500000</v>
      </c>
    </row>
    <row r="53" spans="2:17" x14ac:dyDescent="0.25">
      <c r="B53" s="8" t="s">
        <v>69</v>
      </c>
      <c r="C53" s="119">
        <v>63000000</v>
      </c>
    </row>
    <row r="54" spans="2:17" x14ac:dyDescent="0.25">
      <c r="B54" s="8" t="s">
        <v>50</v>
      </c>
      <c r="C54" s="119">
        <v>67500000</v>
      </c>
    </row>
    <row r="55" spans="2:17" x14ac:dyDescent="0.25">
      <c r="B55" s="8" t="s">
        <v>64</v>
      </c>
      <c r="C55" s="119">
        <v>72000000</v>
      </c>
    </row>
    <row r="56" spans="2:17" x14ac:dyDescent="0.25">
      <c r="B56" s="8" t="s">
        <v>96</v>
      </c>
      <c r="C56" s="119">
        <v>112500000</v>
      </c>
    </row>
    <row r="57" spans="2:17" x14ac:dyDescent="0.25">
      <c r="B57" s="8" t="s">
        <v>97</v>
      </c>
      <c r="C57" s="119">
        <v>117000000</v>
      </c>
    </row>
    <row r="58" spans="2:17" x14ac:dyDescent="0.25">
      <c r="B58" s="8" t="s">
        <v>98</v>
      </c>
      <c r="C58" s="119">
        <v>121500000</v>
      </c>
    </row>
    <row r="59" spans="2:17" x14ac:dyDescent="0.25">
      <c r="B59" s="8" t="s">
        <v>99</v>
      </c>
      <c r="C59" s="119">
        <v>126000000</v>
      </c>
      <c r="P59" s="93"/>
      <c r="Q59" s="93"/>
    </row>
    <row r="63" spans="2:17" x14ac:dyDescent="0.25">
      <c r="D63" s="157">
        <v>835241686.27999997</v>
      </c>
    </row>
    <row r="64" spans="2:17" x14ac:dyDescent="0.25">
      <c r="D64" s="157">
        <v>724991686.27999997</v>
      </c>
    </row>
    <row r="66" spans="3:4" x14ac:dyDescent="0.25">
      <c r="D66" s="158">
        <f>D63-D64</f>
        <v>110250000</v>
      </c>
    </row>
    <row r="67" spans="3:4" x14ac:dyDescent="0.25">
      <c r="C67" s="157"/>
    </row>
    <row r="68" spans="3:4" x14ac:dyDescent="0.25">
      <c r="C68" s="157"/>
      <c r="D68" s="157">
        <v>110250000</v>
      </c>
    </row>
    <row r="69" spans="3:4" x14ac:dyDescent="0.25">
      <c r="C69" s="157"/>
    </row>
    <row r="70" spans="3:4" x14ac:dyDescent="0.25">
      <c r="C70" s="157"/>
    </row>
    <row r="71" spans="3:4" x14ac:dyDescent="0.25">
      <c r="C71" s="157"/>
    </row>
    <row r="72" spans="3:4" x14ac:dyDescent="0.25">
      <c r="C72" s="157"/>
    </row>
    <row r="73" spans="3:4" x14ac:dyDescent="0.25">
      <c r="C73" s="157"/>
    </row>
    <row r="74" spans="3:4" x14ac:dyDescent="0.25">
      <c r="C74" s="157"/>
    </row>
  </sheetData>
  <dataValidations count="1">
    <dataValidation allowBlank="1" showErrorMessage="1" promptTitle="ATTENTION !!!" prompt="This working paper (&quot;WP&quot;) is designed and prepared by NURDIN, the body or person who using the said WP without permission is piracy._x000a__x000a__x000a_COPYRIGHT_x000a_January 2009" sqref="P13:Q18 D14:N18 C13:N13" xr:uid="{63AFECA9-414E-4A37-8CA7-FEB7870B4D4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102</vt:i4>
      </vt:variant>
    </vt:vector>
  </HeadingPairs>
  <TitlesOfParts>
    <vt:vector size="102" baseType="lpstr">
      <vt:lpstr>Data Karyawan</vt:lpstr>
      <vt:lpstr>Summary PPh 21</vt:lpstr>
      <vt:lpstr>Pegawai Tidak Tetap</vt:lpstr>
      <vt:lpstr>Aisha Mutiara S</vt:lpstr>
      <vt:lpstr>Asri</vt:lpstr>
      <vt:lpstr>Fatimah Ratna Wijaya</vt:lpstr>
      <vt:lpstr>Rahmat Dwi Putranto</vt:lpstr>
      <vt:lpstr>Slamet</vt:lpstr>
      <vt:lpstr>Riandy</vt:lpstr>
      <vt:lpstr>Abdul Muis</vt:lpstr>
      <vt:lpstr>Adelia Reztiar Marlen</vt:lpstr>
      <vt:lpstr>Agri Chairunisa Isradjuningtias</vt:lpstr>
      <vt:lpstr>Aldian Kahfi</vt:lpstr>
      <vt:lpstr>Andriana Kusumawati</vt:lpstr>
      <vt:lpstr>Ardiansyah</vt:lpstr>
      <vt:lpstr>Arif Awangga</vt:lpstr>
      <vt:lpstr>Arrum Budi Leksono</vt:lpstr>
      <vt:lpstr>Bella Tri Cahyani</vt:lpstr>
      <vt:lpstr>Devi Tri Indriyani</vt:lpstr>
      <vt:lpstr>Dewi Septiani</vt:lpstr>
      <vt:lpstr>Dwi Yunitasari</vt:lpstr>
      <vt:lpstr>Endang Setiawati</vt:lpstr>
      <vt:lpstr>E. Nuryakin</vt:lpstr>
      <vt:lpstr>Fakhlur</vt:lpstr>
      <vt:lpstr>Fakhlur Ikhram Haris</vt:lpstr>
      <vt:lpstr>Feny Windiyastuti</vt:lpstr>
      <vt:lpstr>Gunawan Nachrawi</vt:lpstr>
      <vt:lpstr>Heriandi Budiono</vt:lpstr>
      <vt:lpstr>Indah Prisilia </vt:lpstr>
      <vt:lpstr>Indra Bayu Cahyadi</vt:lpstr>
      <vt:lpstr>Jamiatur Robekha</vt:lpstr>
      <vt:lpstr>Kenzo Aldio</vt:lpstr>
      <vt:lpstr>Khotijah</vt:lpstr>
      <vt:lpstr>Lisa Sugiyanti</vt:lpstr>
      <vt:lpstr>Marjan Miharja</vt:lpstr>
      <vt:lpstr>Melvalita Widyawati</vt:lpstr>
      <vt:lpstr>Misbahul Huda</vt:lpstr>
      <vt:lpstr>M. Fajar Romadon</vt:lpstr>
      <vt:lpstr>Naufal Nurrohman</vt:lpstr>
      <vt:lpstr>Novia Eka Angraini</vt:lpstr>
      <vt:lpstr>Nurfani Riadi</vt:lpstr>
      <vt:lpstr>Priantoro</vt:lpstr>
      <vt:lpstr>Radika Husaini</vt:lpstr>
      <vt:lpstr>Rani Yuwafi</vt:lpstr>
      <vt:lpstr>Riska Pramelia</vt:lpstr>
      <vt:lpstr>Salma Fadillah</vt:lpstr>
      <vt:lpstr>Sandi Nugraha</vt:lpstr>
      <vt:lpstr>Security</vt:lpstr>
      <vt:lpstr>Sri Wulandara</vt:lpstr>
      <vt:lpstr>Suharto</vt:lpstr>
      <vt:lpstr>Susilawati</vt:lpstr>
      <vt:lpstr>Suyogi Imam Fauzi</vt:lpstr>
      <vt:lpstr>Taufan Teguh Akbari</vt:lpstr>
      <vt:lpstr>Tika Rahayu</vt:lpstr>
      <vt:lpstr>Uzlifatul Jannah</vt:lpstr>
      <vt:lpstr>Wahyu Mustajab</vt:lpstr>
      <vt:lpstr>Wihendy</vt:lpstr>
      <vt:lpstr>Fauji Ashari</vt:lpstr>
      <vt:lpstr>Wita Maulida</vt:lpstr>
      <vt:lpstr>Yeni Karlina</vt:lpstr>
      <vt:lpstr>Yolla Aprilianny</vt:lpstr>
      <vt:lpstr>Yulius Alfredo</vt:lpstr>
      <vt:lpstr>Zamroni</vt:lpstr>
      <vt:lpstr>Braponta Sembiring Pandia</vt:lpstr>
      <vt:lpstr>Dimas Hardianto Saputro</vt:lpstr>
      <vt:lpstr>Ibnu Mubarok</vt:lpstr>
      <vt:lpstr>Mario Agustian Lasut</vt:lpstr>
      <vt:lpstr>Muhammad Iin Bahrain</vt:lpstr>
      <vt:lpstr>Muhammad Kajoen</vt:lpstr>
      <vt:lpstr>Onny Putranti</vt:lpstr>
      <vt:lpstr>Shabrina Adani</vt:lpstr>
      <vt:lpstr>Wahilul Syahid Rido</vt:lpstr>
      <vt:lpstr>Ahmad Saiful Anwar</vt:lpstr>
      <vt:lpstr>Rifky Hendrawan</vt:lpstr>
      <vt:lpstr>Rohim Akbar</vt:lpstr>
      <vt:lpstr>Bagas Bintang Dwicahyo W</vt:lpstr>
      <vt:lpstr>Rista Hutammy Tularbi</vt:lpstr>
      <vt:lpstr>Septi Farania</vt:lpstr>
      <vt:lpstr>Septian Ardiansyah</vt:lpstr>
      <vt:lpstr>Farhandhika Nurrizki</vt:lpstr>
      <vt:lpstr>Lukmanul Hakim</vt:lpstr>
      <vt:lpstr>Umar Zaelani</vt:lpstr>
      <vt:lpstr>FATMA LELY HARTATI</vt:lpstr>
      <vt:lpstr>Geraldy Fachriza</vt:lpstr>
      <vt:lpstr>RUSMIATI</vt:lpstr>
      <vt:lpstr>RISKAWATI</vt:lpstr>
      <vt:lpstr>EKO MINTARTI</vt:lpstr>
      <vt:lpstr>THERESIA MINARSIH</vt:lpstr>
      <vt:lpstr>LESTARIYANI</vt:lpstr>
      <vt:lpstr>Solihati</vt:lpstr>
      <vt:lpstr>Art Rasna</vt:lpstr>
      <vt:lpstr>Aat Fatimatuzzahro</vt:lpstr>
      <vt:lpstr>Lidia Fitria Ningsih</vt:lpstr>
      <vt:lpstr>Gali Ayuningtyas</vt:lpstr>
      <vt:lpstr>Hayyu Nurrafi</vt:lpstr>
      <vt:lpstr>Ardan Moris Fendi Arjanggi</vt:lpstr>
      <vt:lpstr>Hidya Anindyati</vt:lpstr>
      <vt:lpstr>DANDI</vt:lpstr>
      <vt:lpstr>Heni Dwi Riyanti</vt:lpstr>
      <vt:lpstr>Mohammad Agus</vt:lpstr>
      <vt:lpstr>Muhammad Syafei</vt:lpstr>
      <vt:lpstr>Septian Tri Saputro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Brian Pramudita</cp:lastModifiedBy>
  <dcterms:created xsi:type="dcterms:W3CDTF">2017-03-15T05:20:05Z</dcterms:created>
  <dcterms:modified xsi:type="dcterms:W3CDTF">2023-10-02T11:06:16Z</dcterms:modified>
</cp:coreProperties>
</file>