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ort Energy Sheet" sheetId="1" r:id="rId4"/>
    <sheet state="visible" name="DEF Reduction Sheet" sheetId="2" r:id="rId5"/>
    <sheet state="visible" name="Firefly Sheet" sheetId="3" r:id="rId6"/>
    <sheet state="visible" name="Robin Sheet" sheetId="4" r:id="rId7"/>
    <sheet state="visible" name="Seele Sheet" sheetId="5" r:id="rId8"/>
    <sheet state="visible" name="Acheron Sheet" sheetId="6" r:id="rId9"/>
    <sheet state="visible" name="Personal Shopping List" sheetId="7" r:id="rId10"/>
    <sheet state="visible" name="Chicken Scratches" sheetId="8" r:id="rId11"/>
  </sheets>
  <definedNames/>
  <calcPr/>
</workbook>
</file>

<file path=xl/sharedStrings.xml><?xml version="1.0" encoding="utf-8"?>
<sst xmlns="http://schemas.openxmlformats.org/spreadsheetml/2006/main" count="953" uniqueCount="340">
  <si>
    <t>RUAN MEI</t>
  </si>
  <si>
    <t>Max Energy</t>
  </si>
  <si>
    <t>Energy Regeneration Rate</t>
  </si>
  <si>
    <t>Light Cone</t>
  </si>
  <si>
    <t>Rotation (E0)</t>
  </si>
  <si>
    <t>-----</t>
  </si>
  <si>
    <t>Planar Set</t>
  </si>
  <si>
    <t>ERR Rope</t>
  </si>
  <si>
    <t>Planar + ERR</t>
  </si>
  <si>
    <t>QEAE</t>
  </si>
  <si>
    <t>QAEA</t>
  </si>
  <si>
    <t>MoTP S4</t>
  </si>
  <si>
    <t>MoTP S5</t>
  </si>
  <si>
    <t>SILVER WOLF</t>
  </si>
  <si>
    <t>QEAA</t>
  </si>
  <si>
    <t>(E)QAAA</t>
  </si>
  <si>
    <t>BtTMS S5</t>
  </si>
  <si>
    <t>QEA</t>
  </si>
  <si>
    <t>BtTMS S5*</t>
  </si>
  <si>
    <t>Assumes DEF 
Reduction on 
Ult cast</t>
  </si>
  <si>
    <t>PELA</t>
  </si>
  <si>
    <t>Talent Lvl 12</t>
  </si>
  <si>
    <t>(E)QAA</t>
  </si>
  <si>
    <t>Debuffed</t>
  </si>
  <si>
    <t>BRONYA</t>
  </si>
  <si>
    <t>QEEE</t>
  </si>
  <si>
    <t>AEEE</t>
  </si>
  <si>
    <t>BtBiO (+10%)</t>
  </si>
  <si>
    <t>BtBiO (+16%)</t>
  </si>
  <si>
    <t>QEE</t>
  </si>
  <si>
    <t>BtBiO (+18%)</t>
  </si>
  <si>
    <t>FU XUAN</t>
  </si>
  <si>
    <t>(E)QAAE</t>
  </si>
  <si>
    <t>QAAEA</t>
  </si>
  <si>
    <t>SASHE (+10%)</t>
  </si>
  <si>
    <t>HUOHUO</t>
  </si>
  <si>
    <t>Assumes max passive triggers (+12)</t>
  </si>
  <si>
    <t>Assumes max passive triggers (+6)</t>
  </si>
  <si>
    <t>QEAEA</t>
  </si>
  <si>
    <t>NoF S1(+12%)</t>
  </si>
  <si>
    <t>PoC S4(+14%)</t>
  </si>
  <si>
    <t>PoC S5(+16%)</t>
  </si>
  <si>
    <t>BAILU/LYNX</t>
  </si>
  <si>
    <t>QAA</t>
  </si>
  <si>
    <t>QAAA</t>
  </si>
  <si>
    <t>QAAE</t>
  </si>
  <si>
    <t>NoF S1 (+12%)</t>
  </si>
  <si>
    <t>YUKONG</t>
  </si>
  <si>
    <t>A6 trace active (+4)</t>
  </si>
  <si>
    <t>Rotation (E2)</t>
  </si>
  <si>
    <t>Assumes 2 max ult triggers (+10)</t>
  </si>
  <si>
    <t>Rotation (E6)</t>
  </si>
  <si>
    <t>1+ A6 trigger (+6) for first E</t>
  </si>
  <si>
    <t>TINGYUN</t>
  </si>
  <si>
    <t>QEAAA</t>
  </si>
  <si>
    <t>ASTA</t>
  </si>
  <si>
    <t>Rotation (E1)</t>
  </si>
  <si>
    <t>E hit +1</t>
  </si>
  <si>
    <t>Rotation (E4)</t>
  </si>
  <si>
    <t>Assumes 100% uptime on 2 stacks</t>
  </si>
  <si>
    <t>HANYA</t>
  </si>
  <si>
    <t>BtBiO S1(+10%)</t>
  </si>
  <si>
    <t>GEPARD</t>
  </si>
  <si>
    <t>AAAE</t>
  </si>
  <si>
    <t>LUOCHA</t>
  </si>
  <si>
    <t>T means auto-heal of skill (Takes no turn)</t>
  </si>
  <si>
    <t>QTA</t>
  </si>
  <si>
    <t>QTAA</t>
  </si>
  <si>
    <t>EotC
3 Ult 3 Basic</t>
  </si>
  <si>
    <t>WELT</t>
  </si>
  <si>
    <t>QEEA</t>
  </si>
  <si>
    <t>Slowed</t>
  </si>
  <si>
    <t>Talent trigger = +3 Energy</t>
  </si>
  <si>
    <t>SPARKLE</t>
  </si>
  <si>
    <t>FIRE TRAILBLAZER</t>
  </si>
  <si>
    <t>A6 activates twice (+12)</t>
  </si>
  <si>
    <t>QA^AE</t>
  </si>
  <si>
    <t>QA^AA^</t>
  </si>
  <si>
    <t>QA^EE</t>
  </si>
  <si>
    <t>ROBIN</t>
  </si>
  <si>
    <t>Assumes each character takes action (+6) per turn</t>
  </si>
  <si>
    <t>QEAAE</t>
  </si>
  <si>
    <t>Assumes 2 procs of Quid Pro Quo</t>
  </si>
  <si>
    <t>GALLAGHER</t>
  </si>
  <si>
    <t>Thief of Shooting Meteor (1 break = +4)</t>
  </si>
  <si>
    <t>QAEE</t>
  </si>
  <si>
    <t>QAAAE</t>
  </si>
  <si>
    <t>QAAEE</t>
  </si>
  <si>
    <t>EotC
9 Ult 3 Basic</t>
  </si>
  <si>
    <t>HARMONY TRAILBLAZER</t>
  </si>
  <si>
    <t>Assumes 2 triggers of Talent lvl 10 (+20)</t>
  </si>
  <si>
    <t>E6 adds 2 hits (+12)</t>
  </si>
  <si>
    <t>Firefly</t>
  </si>
  <si>
    <t>Base kit</t>
  </si>
  <si>
    <t xml:space="preserve">Firefly E1 </t>
  </si>
  <si>
    <t xml:space="preserve">Ruan Mei E1 </t>
  </si>
  <si>
    <t>FF+RM E1</t>
  </si>
  <si>
    <t>Character lvl</t>
  </si>
  <si>
    <t>Enemy lvl</t>
  </si>
  <si>
    <t>Def shred</t>
  </si>
  <si>
    <t>DMG increase</t>
  </si>
  <si>
    <t>Seele</t>
  </si>
  <si>
    <t>Sparkle E2</t>
  </si>
  <si>
    <t>SW</t>
  </si>
  <si>
    <t>SparkleE2+SW</t>
  </si>
  <si>
    <t>Jingliu</t>
  </si>
  <si>
    <t>LC</t>
  </si>
  <si>
    <t>LC+RM E1</t>
  </si>
  <si>
    <t>LC+QUA Set</t>
  </si>
  <si>
    <t>LC+RM E1+ QUA Set</t>
  </si>
  <si>
    <t>Firefly Stats:</t>
  </si>
  <si>
    <t>Final Stats</t>
  </si>
  <si>
    <t>Atk</t>
  </si>
  <si>
    <t>Mods</t>
  </si>
  <si>
    <t>Subs</t>
  </si>
  <si>
    <t>Attack</t>
  </si>
  <si>
    <t>Base Spd</t>
  </si>
  <si>
    <t>Ult Spd</t>
  </si>
  <si>
    <t>Break Effect</t>
  </si>
  <si>
    <t>Spd</t>
  </si>
  <si>
    <t>DMG Bonus</t>
  </si>
  <si>
    <t>Res Pen</t>
  </si>
  <si>
    <t>Def Ignore</t>
  </si>
  <si>
    <t>Break DMG+</t>
  </si>
  <si>
    <t>Sources</t>
  </si>
  <si>
    <t>BE%</t>
  </si>
  <si>
    <t>Buffs</t>
  </si>
  <si>
    <t>Temp Buffs</t>
  </si>
  <si>
    <t>HMC</t>
  </si>
  <si>
    <t>Ruan Mei</t>
  </si>
  <si>
    <t>Sets</t>
  </si>
  <si>
    <t>Gallagher</t>
  </si>
  <si>
    <t>Rope</t>
  </si>
  <si>
    <t>FF E1</t>
  </si>
  <si>
    <t>FF LC</t>
  </si>
  <si>
    <t>Whereabouts Should Dreams Rest S5</t>
  </si>
  <si>
    <t>Boots</t>
  </si>
  <si>
    <t>FF E6</t>
  </si>
  <si>
    <t>Ruan Mei Ult</t>
  </si>
  <si>
    <t>RM E1</t>
  </si>
  <si>
    <t>Messenger</t>
  </si>
  <si>
    <t>HMC Ult</t>
  </si>
  <si>
    <t>Watchmaker</t>
  </si>
  <si>
    <t>RM LC</t>
  </si>
  <si>
    <t>Lingsha LC</t>
  </si>
  <si>
    <t>Damage Sheet:</t>
  </si>
  <si>
    <t>Character</t>
  </si>
  <si>
    <t>Firefly lvl</t>
  </si>
  <si>
    <t>OG Break</t>
  </si>
  <si>
    <t>HMC lvl</t>
  </si>
  <si>
    <t>Super Break</t>
  </si>
  <si>
    <t>Ruan Mei lvl</t>
  </si>
  <si>
    <t>Side</t>
  </si>
  <si>
    <t>Gallagher lvl</t>
  </si>
  <si>
    <t>Enemy Level</t>
  </si>
  <si>
    <t>% change</t>
  </si>
  <si>
    <t>Toughness</t>
  </si>
  <si>
    <t># of enemies</t>
  </si>
  <si>
    <t>Gallagher Spread</t>
  </si>
  <si>
    <t>Gallagher Ult</t>
  </si>
  <si>
    <t>Ult</t>
  </si>
  <si>
    <t>Fire Resist?</t>
  </si>
  <si>
    <t>Enhanced</t>
  </si>
  <si>
    <t>Fire Weak?</t>
  </si>
  <si>
    <t>Ruan Mei Thanatoplum</t>
  </si>
  <si>
    <t>Side Fire Weak?</t>
  </si>
  <si>
    <t>Delay</t>
  </si>
  <si>
    <t>Img Weak?</t>
  </si>
  <si>
    <t>Dmg</t>
  </si>
  <si>
    <t>Ice Weak?</t>
  </si>
  <si>
    <t>This table was made during 2.3 beta v3 &gt;&gt;&gt;</t>
  </si>
  <si>
    <t>Damage Table of Non-Fire Weak VS Fire Weak Enemies (Fall of an Aeon S5 VS Fire Weak baseline) %Change</t>
  </si>
  <si>
    <t>NOT UPDATED DO NOT USE AS REFERENCE</t>
  </si>
  <si>
    <t>WSDR S1</t>
  </si>
  <si>
    <t>Aeon S5</t>
  </si>
  <si>
    <t>Indelible S5</t>
  </si>
  <si>
    <t>Indelible S1</t>
  </si>
  <si>
    <t>Ruan Mei (N)</t>
  </si>
  <si>
    <t>Gallagher (N)</t>
  </si>
  <si>
    <t>FF E0</t>
  </si>
  <si>
    <t>FF E1 + RM E1</t>
  </si>
  <si>
    <t>FF E1 + RM E2</t>
  </si>
  <si>
    <t>Gallagher (Y)</t>
  </si>
  <si>
    <t>Ruan Mei (Y)</t>
  </si>
  <si>
    <t>Robin Stats</t>
  </si>
  <si>
    <t>March Stats</t>
  </si>
  <si>
    <t>Yanqing Stats</t>
  </si>
  <si>
    <t>ATK</t>
  </si>
  <si>
    <t>Eidolon</t>
  </si>
  <si>
    <t>SPD</t>
  </si>
  <si>
    <t>DMG</t>
  </si>
  <si>
    <t>CR</t>
  </si>
  <si>
    <t>Robin Buffs</t>
  </si>
  <si>
    <t>CDMG</t>
  </si>
  <si>
    <t>ATK+</t>
  </si>
  <si>
    <t>DMG%</t>
  </si>
  <si>
    <t>FuA CDMG</t>
  </si>
  <si>
    <t>Concerto dmg</t>
  </si>
  <si>
    <t>Crit Dmg+</t>
  </si>
  <si>
    <t>FuA Crit Dmg+</t>
  </si>
  <si>
    <t>DMG+</t>
  </si>
  <si>
    <t>RES PEN</t>
  </si>
  <si>
    <t>SPD Boost</t>
  </si>
  <si>
    <t>March</t>
  </si>
  <si>
    <t>Seele Stats:</t>
  </si>
  <si>
    <t>FInal Stats</t>
  </si>
  <si>
    <t>Crt Rate</t>
  </si>
  <si>
    <t>Crt Dmg</t>
  </si>
  <si>
    <t>Ult Crt Dmg</t>
  </si>
  <si>
    <t>Skill DMG%</t>
  </si>
  <si>
    <t>DEF Ignore</t>
  </si>
  <si>
    <t>RES Pen</t>
  </si>
  <si>
    <t>Dmg Vul</t>
  </si>
  <si>
    <t>No crit</t>
  </si>
  <si>
    <t>Crit</t>
  </si>
  <si>
    <t>Basic</t>
  </si>
  <si>
    <t>CRT DMG</t>
  </si>
  <si>
    <t>Skill</t>
  </si>
  <si>
    <t>CRT RATE</t>
  </si>
  <si>
    <t>Resurgence</t>
  </si>
  <si>
    <t>Skill Spd</t>
  </si>
  <si>
    <t>Orb</t>
  </si>
  <si>
    <t>Sparkle LC</t>
  </si>
  <si>
    <t>Sparkle E1</t>
  </si>
  <si>
    <t>Fu Xuan Field</t>
  </si>
  <si>
    <t>Fu Xuan E1</t>
  </si>
  <si>
    <t>SW LC</t>
  </si>
  <si>
    <t>Penacony</t>
  </si>
  <si>
    <t>Debuffer:</t>
  </si>
  <si>
    <t>Def Reduction</t>
  </si>
  <si>
    <t>Res Reduction</t>
  </si>
  <si>
    <t>Vulnerability</t>
  </si>
  <si>
    <t>Ult Vulnerability</t>
  </si>
  <si>
    <t>Acheron stats</t>
  </si>
  <si>
    <t>Erie</t>
  </si>
  <si>
    <t>Zolo</t>
  </si>
  <si>
    <t>Harmony</t>
  </si>
  <si>
    <t>Crit Dmg</t>
  </si>
  <si>
    <t>Res shred</t>
  </si>
  <si>
    <t>Jiaoqiu</t>
  </si>
  <si>
    <t>Bronya</t>
  </si>
  <si>
    <t>Pela</t>
  </si>
  <si>
    <t>Crit Rate</t>
  </si>
  <si>
    <t>Sparkle</t>
  </si>
  <si>
    <t>Silver Wolf</t>
  </si>
  <si>
    <t>LC:</t>
  </si>
  <si>
    <t>Dmg%</t>
  </si>
  <si>
    <t>Robin</t>
  </si>
  <si>
    <t>Those Many Springs S1</t>
  </si>
  <si>
    <t>Jiao E1</t>
  </si>
  <si>
    <t>Resolution Shines as Pearls of Sweat S5</t>
  </si>
  <si>
    <t>Incessant Rain S1</t>
  </si>
  <si>
    <t>Nihility Count:</t>
  </si>
  <si>
    <t>Enemy count:</t>
  </si>
  <si>
    <t>SW+Pela</t>
  </si>
  <si>
    <t>Jiao+SW</t>
  </si>
  <si>
    <t>Jiao+Pela</t>
  </si>
  <si>
    <t>Jiao</t>
  </si>
  <si>
    <t>Non-crit</t>
  </si>
  <si>
    <t>AoE</t>
  </si>
  <si>
    <t>9 Petals</t>
  </si>
  <si>
    <t>Date Calc'd : 6/24/2024</t>
  </si>
  <si>
    <t>Days:</t>
  </si>
  <si>
    <t>Shopping List:</t>
  </si>
  <si>
    <t>Income</t>
  </si>
  <si>
    <t>Daily</t>
  </si>
  <si>
    <t>Jade</t>
  </si>
  <si>
    <t xml:space="preserve">Pity </t>
  </si>
  <si>
    <t>Seele E2</t>
  </si>
  <si>
    <t>Sim Uni</t>
  </si>
  <si>
    <t>Freebies</t>
  </si>
  <si>
    <t>MoC/PF</t>
  </si>
  <si>
    <t>Current</t>
  </si>
  <si>
    <t>Silver Wolf LC</t>
  </si>
  <si>
    <t>Maintenance</t>
  </si>
  <si>
    <t>Tick Conversion</t>
  </si>
  <si>
    <t>Final Count</t>
  </si>
  <si>
    <t>Redeems</t>
  </si>
  <si>
    <t>Firefly E2</t>
  </si>
  <si>
    <t>Projected pull session</t>
  </si>
  <si>
    <t>Ruan Mei LC</t>
  </si>
  <si>
    <t>Pull to soft/hard:</t>
  </si>
  <si>
    <t>Ruan Mei E1</t>
  </si>
  <si>
    <t>SW CR and EHR</t>
  </si>
  <si>
    <t>Relic Goals:</t>
  </si>
  <si>
    <t>Caverns</t>
  </si>
  <si>
    <t>Planars</t>
  </si>
  <si>
    <t>Notes:</t>
  </si>
  <si>
    <t>160 spd w/ Penacony</t>
  </si>
  <si>
    <t>Genius/Guard</t>
  </si>
  <si>
    <t>Penacony/Glamoth</t>
  </si>
  <si>
    <t>Sparkle's boots are bad, needs more CDMG</t>
  </si>
  <si>
    <t>HSS/Fleet</t>
  </si>
  <si>
    <t>Penacony Planars are what I need to reach goals</t>
  </si>
  <si>
    <t>Fu Xuan</t>
  </si>
  <si>
    <t>7k HP/2k DEF</t>
  </si>
  <si>
    <t>QUA orb for Seele, but unnecessary atm cuz no Sparkle E1</t>
  </si>
  <si>
    <t>70/220 CR</t>
  </si>
  <si>
    <t>HEHE SW chest is good with her LC</t>
  </si>
  <si>
    <t>4.5k atk w/ HSS</t>
  </si>
  <si>
    <t>Seele Calc:</t>
  </si>
  <si>
    <t>Atk on page</t>
  </si>
  <si>
    <t>Etc.</t>
  </si>
  <si>
    <t>Bonuses</t>
  </si>
  <si>
    <t>Final value</t>
  </si>
  <si>
    <t>Jingliu Calc:</t>
  </si>
  <si>
    <t>Atk in state</t>
  </si>
  <si>
    <t>Ally HP</t>
  </si>
  <si>
    <t>Ally Drain</t>
  </si>
  <si>
    <t>Bonus Granted</t>
  </si>
  <si>
    <t>Acheron Calc:</t>
  </si>
  <si>
    <t>Acheron</t>
  </si>
  <si>
    <t>Aventurine Calc:</t>
  </si>
  <si>
    <t>Aventurine</t>
  </si>
  <si>
    <t>Def on page</t>
  </si>
  <si>
    <t>Luka Calc:</t>
  </si>
  <si>
    <t>Luka</t>
  </si>
  <si>
    <t>Final Value</t>
  </si>
  <si>
    <t>Fire MC:</t>
  </si>
  <si>
    <t>Stelle</t>
  </si>
  <si>
    <t>Def on page:</t>
  </si>
  <si>
    <t>Firefly Calc</t>
  </si>
  <si>
    <t>Base</t>
  </si>
  <si>
    <t>Firefly BE:</t>
  </si>
  <si>
    <t>Subs:</t>
  </si>
  <si>
    <t>Final BE</t>
  </si>
  <si>
    <t>Sub</t>
  </si>
  <si>
    <t>Final</t>
  </si>
  <si>
    <t>Zhu Yuan</t>
  </si>
  <si>
    <t>Promotion Seals</t>
  </si>
  <si>
    <t>Adv</t>
  </si>
  <si>
    <t>Pioneer</t>
  </si>
  <si>
    <t>Chips</t>
  </si>
  <si>
    <t>Per</t>
  </si>
  <si>
    <t>Max</t>
  </si>
  <si>
    <t>Advanced</t>
  </si>
  <si>
    <t>Special</t>
  </si>
  <si>
    <t>Core Skill</t>
  </si>
  <si>
    <t>Living Drive</t>
  </si>
  <si>
    <t>Ethereal Pursuit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</si>
</sst>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3.0"/>
      <color theme="1"/>
      <name val="Merriweather"/>
    </font>
    <font/>
    <font>
      <sz val="11.0"/>
      <color theme="1"/>
      <name val="Arial"/>
      <scheme val="minor"/>
    </font>
    <font>
      <color theme="1"/>
      <name val="Arial"/>
      <scheme val="minor"/>
    </font>
    <font>
      <b/>
      <u/>
      <sz val="9.0"/>
      <color theme="1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u/>
      <sz val="11.0"/>
      <color theme="1"/>
      <name val="Arial"/>
    </font>
    <font>
      <color theme="1"/>
      <name val="Arial"/>
    </font>
    <font>
      <b/>
      <u/>
      <sz val="9.0"/>
      <color theme="1"/>
      <name val="Arial"/>
      <scheme val="minor"/>
    </font>
    <font>
      <b/>
      <u/>
      <sz val="9.0"/>
      <color theme="1"/>
      <name val="Arial"/>
    </font>
    <font>
      <b/>
      <u/>
      <sz val="9.0"/>
      <color theme="1"/>
      <name val="Arial"/>
    </font>
    <font>
      <b/>
      <u/>
      <sz val="9.0"/>
      <color theme="1"/>
      <name val="Arial"/>
    </font>
    <font>
      <color rgb="FF000000"/>
      <name val="Arial"/>
    </font>
    <font>
      <b/>
      <sz val="13.0"/>
      <color theme="1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46BDC6"/>
        <bgColor rgb="FF46BDC6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8E7CC3"/>
        <bgColor rgb="FF8E7CC3"/>
      </patternFill>
    </fill>
    <fill>
      <patternFill patternType="solid">
        <fgColor rgb="FFFF00FF"/>
        <bgColor rgb="FFFF00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/>
    </xf>
    <xf borderId="4" fillId="2" fontId="3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4" fillId="3" fontId="3" numFmtId="10" xfId="0" applyAlignment="1" applyBorder="1" applyFill="1" applyFont="1" applyNumberFormat="1">
      <alignment horizontal="center" readingOrder="0"/>
    </xf>
    <xf borderId="5" fillId="0" fontId="5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/>
    </xf>
    <xf borderId="6" fillId="0" fontId="2" numFmtId="0" xfId="0" applyBorder="1" applyFont="1"/>
    <xf borderId="4" fillId="4" fontId="6" numFmtId="0" xfId="0" applyAlignment="1" applyBorder="1" applyFill="1" applyFont="1">
      <alignment horizontal="center"/>
    </xf>
    <xf borderId="4" fillId="0" fontId="7" numFmtId="0" xfId="0" applyAlignment="1" applyBorder="1" applyFont="1">
      <alignment horizontal="center" readingOrder="0"/>
    </xf>
    <xf borderId="7" fillId="0" fontId="2" numFmtId="0" xfId="0" applyBorder="1" applyFont="1"/>
    <xf borderId="4" fillId="5" fontId="6" numFmtId="0" xfId="0" applyAlignment="1" applyBorder="1" applyFill="1" applyFont="1">
      <alignment horizontal="center"/>
    </xf>
    <xf borderId="4" fillId="4" fontId="8" numFmtId="0" xfId="0" applyAlignment="1" applyBorder="1" applyFont="1">
      <alignment horizontal="center"/>
    </xf>
    <xf borderId="0" fillId="6" fontId="4" numFmtId="0" xfId="0" applyAlignment="1" applyFill="1" applyFont="1">
      <alignment readingOrder="0" vertical="center"/>
    </xf>
    <xf borderId="0" fillId="0" fontId="4" numFmtId="0" xfId="0" applyAlignment="1" applyFont="1">
      <alignment readingOrder="0" vertical="center"/>
    </xf>
    <xf borderId="4" fillId="0" fontId="9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4" fillId="0" fontId="10" numFmtId="0" xfId="0" applyAlignment="1" applyBorder="1" applyFont="1">
      <alignment horizontal="center" readingOrder="0"/>
    </xf>
    <xf borderId="4" fillId="4" fontId="8" numFmtId="0" xfId="0" applyAlignment="1" applyBorder="1" applyFont="1">
      <alignment horizontal="center"/>
    </xf>
    <xf borderId="5" fillId="0" fontId="11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center" readingOrder="0" vertical="bottom"/>
    </xf>
    <xf borderId="3" fillId="7" fontId="7" numFmtId="0" xfId="0" applyAlignment="1" applyBorder="1" applyFill="1" applyFont="1">
      <alignment horizontal="center" vertical="bottom"/>
    </xf>
    <xf borderId="3" fillId="0" fontId="10" numFmtId="0" xfId="0" applyAlignment="1" applyBorder="1" applyFont="1">
      <alignment horizontal="center" vertical="bottom"/>
    </xf>
    <xf borderId="8" fillId="0" fontId="10" numFmtId="0" xfId="0" applyAlignment="1" applyBorder="1" applyFont="1">
      <alignment horizontal="center" vertical="bottom"/>
    </xf>
    <xf borderId="8" fillId="5" fontId="7" numFmtId="0" xfId="0" applyAlignment="1" applyBorder="1" applyFont="1">
      <alignment horizontal="center" vertical="bottom"/>
    </xf>
    <xf borderId="8" fillId="0" fontId="10" numFmtId="0" xfId="0" applyAlignment="1" applyBorder="1" applyFont="1">
      <alignment horizontal="center" readingOrder="0" vertical="bottom"/>
    </xf>
    <xf borderId="8" fillId="7" fontId="7" numFmtId="0" xfId="0" applyAlignment="1" applyBorder="1" applyFont="1">
      <alignment horizontal="center" vertical="bottom"/>
    </xf>
    <xf borderId="0" fillId="4" fontId="3" numFmtId="10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4" fontId="6" numFmtId="0" xfId="0" applyAlignment="1" applyFont="1">
      <alignment horizontal="center"/>
    </xf>
    <xf borderId="1" fillId="0" fontId="1" numFmtId="0" xfId="0" applyAlignment="1" applyBorder="1" applyFont="1">
      <alignment horizontal="center" readingOrder="0" vertical="bottom"/>
    </xf>
    <xf borderId="4" fillId="0" fontId="7" numFmtId="0" xfId="0" applyAlignment="1" applyBorder="1" applyFont="1">
      <alignment horizontal="center" vertical="bottom"/>
    </xf>
    <xf borderId="4" fillId="2" fontId="7" numFmtId="0" xfId="0" applyAlignment="1" applyBorder="1" applyFont="1">
      <alignment horizontal="center" readingOrder="0" vertical="bottom"/>
    </xf>
    <xf borderId="1" fillId="4" fontId="8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vertical="bottom"/>
    </xf>
    <xf borderId="4" fillId="8" fontId="7" numFmtId="10" xfId="0" applyAlignment="1" applyBorder="1" applyFill="1" applyFont="1" applyNumberFormat="1">
      <alignment horizontal="center" vertical="bottom"/>
    </xf>
    <xf borderId="4" fillId="0" fontId="7" numFmtId="0" xfId="0" applyAlignment="1" applyBorder="1" applyFont="1">
      <alignment horizontal="center" vertical="bottom"/>
    </xf>
    <xf borderId="5" fillId="0" fontId="12" numFmtId="0" xfId="0" applyAlignment="1" applyBorder="1" applyFont="1">
      <alignment horizontal="center" vertical="center"/>
    </xf>
    <xf borderId="4" fillId="7" fontId="7" numFmtId="0" xfId="0" applyAlignment="1" applyBorder="1" applyFont="1">
      <alignment horizontal="center" vertical="bottom"/>
    </xf>
    <xf borderId="4" fillId="0" fontId="7" numFmtId="0" xfId="0" applyAlignment="1" applyBorder="1" applyFont="1">
      <alignment horizontal="center"/>
    </xf>
    <xf borderId="5" fillId="0" fontId="13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bottom"/>
    </xf>
    <xf borderId="4" fillId="0" fontId="6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vertical="bottom"/>
    </xf>
    <xf borderId="3" fillId="8" fontId="7" numFmtId="10" xfId="0" applyAlignment="1" applyBorder="1" applyFont="1" applyNumberFormat="1">
      <alignment horizontal="center" vertical="bottom"/>
    </xf>
    <xf borderId="6" fillId="0" fontId="7" numFmtId="0" xfId="0" applyAlignment="1" applyBorder="1" applyFont="1">
      <alignment horizontal="center" vertical="bottom"/>
    </xf>
    <xf borderId="8" fillId="0" fontId="7" numFmtId="0" xfId="0" applyAlignment="1" applyBorder="1" applyFont="1">
      <alignment horizontal="center" vertical="bottom"/>
    </xf>
    <xf borderId="7" fillId="0" fontId="14" numFmtId="0" xfId="0" applyAlignment="1" applyBorder="1" applyFont="1">
      <alignment horizontal="center" vertical="center"/>
    </xf>
    <xf borderId="3" fillId="4" fontId="8" numFmtId="0" xfId="0" applyAlignment="1" applyBorder="1" applyFont="1">
      <alignment horizontal="center"/>
    </xf>
    <xf borderId="1" fillId="0" fontId="4" numFmtId="0" xfId="0" applyBorder="1" applyFont="1"/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4" fontId="4" numFmtId="10" xfId="0" applyAlignment="1" applyFont="1" applyNumberFormat="1">
      <alignment readingOrder="0"/>
    </xf>
    <xf borderId="0" fillId="4" fontId="4" numFmtId="0" xfId="0" applyFont="1"/>
    <xf borderId="1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readingOrder="0"/>
    </xf>
    <xf borderId="10" fillId="0" fontId="4" numFmtId="2" xfId="0" applyBorder="1" applyFont="1" applyNumberFormat="1"/>
    <xf borderId="0" fillId="0" fontId="4" numFmtId="0" xfId="0" applyFont="1"/>
    <xf borderId="0" fillId="7" fontId="4" numFmtId="0" xfId="0" applyAlignment="1" applyFont="1">
      <alignment readingOrder="0"/>
    </xf>
    <xf borderId="0" fillId="7" fontId="4" numFmtId="0" xfId="0" applyFont="1"/>
    <xf borderId="0" fillId="9" fontId="4" numFmtId="1" xfId="0" applyFill="1" applyFont="1" applyNumberFormat="1"/>
    <xf borderId="11" fillId="0" fontId="4" numFmtId="0" xfId="0" applyAlignment="1" applyBorder="1" applyFont="1">
      <alignment readingOrder="0"/>
    </xf>
    <xf borderId="12" fillId="0" fontId="4" numFmtId="0" xfId="0" applyBorder="1" applyFont="1"/>
    <xf borderId="0" fillId="4" fontId="4" numFmtId="0" xfId="0" applyAlignment="1" applyFont="1">
      <alignment readingOrder="0"/>
    </xf>
    <xf borderId="12" fillId="4" fontId="4" numFmtId="10" xfId="0" applyBorder="1" applyFont="1" applyNumberFormat="1"/>
    <xf borderId="12" fillId="0" fontId="4" numFmtId="9" xfId="0" applyBorder="1" applyFont="1" applyNumberFormat="1"/>
    <xf borderId="0" fillId="7" fontId="4" numFmtId="9" xfId="0" applyAlignment="1" applyFont="1" applyNumberFormat="1">
      <alignment readingOrder="0"/>
    </xf>
    <xf borderId="0" fillId="10" fontId="4" numFmtId="10" xfId="0" applyAlignment="1" applyFill="1" applyFont="1" applyNumberFormat="1">
      <alignment readingOrder="0"/>
    </xf>
    <xf borderId="0" fillId="11" fontId="4" numFmtId="10" xfId="0" applyAlignment="1" applyFill="1" applyFont="1" applyNumberFormat="1">
      <alignment readingOrder="0"/>
    </xf>
    <xf borderId="13" fillId="0" fontId="4" numFmtId="0" xfId="0" applyAlignment="1" applyBorder="1" applyFont="1">
      <alignment readingOrder="0"/>
    </xf>
    <xf borderId="8" fillId="0" fontId="4" numFmtId="9" xfId="0" applyBorder="1" applyFont="1" applyNumberFormat="1"/>
    <xf borderId="0" fillId="0" fontId="4" numFmtId="10" xfId="0" applyFont="1" applyNumberFormat="1"/>
    <xf borderId="0" fillId="7" fontId="4" numFmtId="10" xfId="0" applyAlignment="1" applyFont="1" applyNumberFormat="1">
      <alignment readingOrder="0"/>
    </xf>
    <xf borderId="0" fillId="6" fontId="4" numFmtId="10" xfId="0" applyAlignment="1" applyFont="1" applyNumberFormat="1">
      <alignment readingOrder="0"/>
    </xf>
    <xf borderId="0" fillId="6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6" fontId="4" numFmtId="10" xfId="0" applyFont="1" applyNumberFormat="1"/>
    <xf borderId="0" fillId="10" fontId="4" numFmtId="0" xfId="0" applyAlignment="1" applyFont="1">
      <alignment readingOrder="0"/>
    </xf>
    <xf borderId="0" fillId="12" fontId="4" numFmtId="0" xfId="0" applyAlignment="1" applyFill="1" applyFont="1">
      <alignment readingOrder="0"/>
    </xf>
    <xf borderId="9" fillId="13" fontId="4" numFmtId="0" xfId="0" applyAlignment="1" applyBorder="1" applyFill="1" applyFont="1">
      <alignment readingOrder="0"/>
    </xf>
    <xf borderId="14" fillId="0" fontId="2" numFmtId="0" xfId="0" applyBorder="1" applyFont="1"/>
    <xf borderId="14" fillId="14" fontId="4" numFmtId="0" xfId="0" applyAlignment="1" applyBorder="1" applyFill="1" applyFont="1">
      <alignment readingOrder="0"/>
    </xf>
    <xf borderId="14" fillId="14" fontId="4" numFmtId="0" xfId="0" applyBorder="1" applyFont="1"/>
    <xf borderId="14" fillId="0" fontId="4" numFmtId="0" xfId="0" applyBorder="1" applyFont="1"/>
    <xf borderId="14" fillId="0" fontId="4" numFmtId="0" xfId="0" applyAlignment="1" applyBorder="1" applyFont="1">
      <alignment readingOrder="0"/>
    </xf>
    <xf borderId="10" fillId="0" fontId="4" numFmtId="0" xfId="0" applyBorder="1" applyFont="1"/>
    <xf borderId="11" fillId="14" fontId="4" numFmtId="0" xfId="0" applyAlignment="1" applyBorder="1" applyFont="1">
      <alignment readingOrder="0"/>
    </xf>
    <xf borderId="5" fillId="7" fontId="4" numFmtId="0" xfId="0" applyAlignment="1" applyBorder="1" applyFont="1">
      <alignment readingOrder="0"/>
    </xf>
    <xf borderId="4" fillId="6" fontId="4" numFmtId="0" xfId="0" applyAlignment="1" applyBorder="1" applyFont="1">
      <alignment readingOrder="0"/>
    </xf>
    <xf borderId="4" fillId="12" fontId="4" numFmtId="0" xfId="0" applyAlignment="1" applyBorder="1" applyFont="1">
      <alignment readingOrder="0"/>
    </xf>
    <xf borderId="4" fillId="10" fontId="4" numFmtId="0" xfId="0" applyAlignment="1" applyBorder="1" applyFont="1">
      <alignment readingOrder="0"/>
    </xf>
    <xf borderId="12" fillId="7" fontId="4" numFmtId="0" xfId="0" applyAlignment="1" applyBorder="1" applyFont="1">
      <alignment readingOrder="0"/>
    </xf>
    <xf borderId="5" fillId="7" fontId="4" numFmtId="1" xfId="0" applyBorder="1" applyFont="1" applyNumberFormat="1"/>
    <xf borderId="10" fillId="6" fontId="4" numFmtId="1" xfId="0" applyBorder="1" applyFont="1" applyNumberFormat="1"/>
    <xf borderId="5" fillId="12" fontId="4" numFmtId="1" xfId="0" applyBorder="1" applyFont="1" applyNumberFormat="1"/>
    <xf borderId="5" fillId="10" fontId="4" numFmtId="1" xfId="0" applyBorder="1" applyFont="1" applyNumberFormat="1"/>
    <xf borderId="12" fillId="6" fontId="4" numFmtId="0" xfId="0" applyAlignment="1" applyBorder="1" applyFont="1">
      <alignment readingOrder="0"/>
    </xf>
    <xf borderId="7" fillId="7" fontId="4" numFmtId="1" xfId="0" applyBorder="1" applyFont="1" applyNumberFormat="1"/>
    <xf borderId="8" fillId="6" fontId="4" numFmtId="1" xfId="0" applyBorder="1" applyFont="1" applyNumberFormat="1"/>
    <xf borderId="6" fillId="12" fontId="4" numFmtId="1" xfId="0" applyBorder="1" applyFont="1" applyNumberFormat="1"/>
    <xf borderId="6" fillId="10" fontId="4" numFmtId="1" xfId="0" applyBorder="1" applyFont="1" applyNumberFormat="1"/>
    <xf borderId="12" fillId="10" fontId="4" numFmtId="0" xfId="0" applyAlignment="1" applyBorder="1" applyFont="1">
      <alignment readingOrder="0"/>
    </xf>
    <xf borderId="11" fillId="7" fontId="4" numFmtId="0" xfId="0" applyAlignment="1" applyBorder="1" applyFont="1">
      <alignment readingOrder="0"/>
    </xf>
    <xf borderId="6" fillId="7" fontId="4" numFmtId="1" xfId="0" applyBorder="1" applyFont="1" applyNumberFormat="1"/>
    <xf borderId="12" fillId="12" fontId="4" numFmtId="0" xfId="0" applyAlignment="1" applyBorder="1" applyFont="1">
      <alignment readingOrder="0"/>
    </xf>
    <xf borderId="11" fillId="0" fontId="4" numFmtId="0" xfId="0" applyBorder="1" applyFont="1"/>
    <xf borderId="12" fillId="14" fontId="0" numFmtId="0" xfId="0" applyAlignment="1" applyBorder="1" applyFont="1">
      <alignment readingOrder="0"/>
    </xf>
    <xf borderId="12" fillId="0" fontId="4" numFmtId="0" xfId="0" applyAlignment="1" applyBorder="1" applyFont="1">
      <alignment readingOrder="0"/>
    </xf>
    <xf borderId="11" fillId="15" fontId="4" numFmtId="0" xfId="0" applyAlignment="1" applyBorder="1" applyFill="1" applyFont="1">
      <alignment readingOrder="0"/>
    </xf>
    <xf borderId="11" fillId="12" fontId="4" numFmtId="0" xfId="0" applyAlignment="1" applyBorder="1" applyFont="1">
      <alignment readingOrder="0"/>
    </xf>
    <xf borderId="0" fillId="12" fontId="4" numFmtId="1" xfId="0" applyFont="1" applyNumberFormat="1"/>
    <xf borderId="11" fillId="16" fontId="4" numFmtId="0" xfId="0" applyAlignment="1" applyBorder="1" applyFill="1" applyFont="1">
      <alignment readingOrder="0"/>
    </xf>
    <xf borderId="0" fillId="16" fontId="4" numFmtId="0" xfId="0" applyFont="1"/>
    <xf borderId="11" fillId="10" fontId="4" numFmtId="0" xfId="0" applyAlignment="1" applyBorder="1" applyFont="1">
      <alignment readingOrder="0"/>
    </xf>
    <xf borderId="0" fillId="10" fontId="4" numFmtId="10" xfId="0" applyFont="1" applyNumberFormat="1"/>
    <xf borderId="13" fillId="10" fontId="4" numFmtId="0" xfId="0" applyAlignment="1" applyBorder="1" applyFont="1">
      <alignment readingOrder="0"/>
    </xf>
    <xf borderId="15" fillId="10" fontId="4" numFmtId="1" xfId="0" applyBorder="1" applyFont="1" applyNumberFormat="1"/>
    <xf borderId="15" fillId="0" fontId="4" numFmtId="0" xfId="0" applyBorder="1" applyFont="1"/>
    <xf borderId="15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0" fillId="0" fontId="4" numFmtId="1" xfId="0" applyFont="1" applyNumberFormat="1"/>
    <xf borderId="0" fillId="4" fontId="15" numFmtId="0" xfId="0" applyAlignment="1" applyFont="1">
      <alignment horizontal="left" readingOrder="0"/>
    </xf>
    <xf borderId="1" fillId="0" fontId="16" numFmtId="0" xfId="0" applyAlignment="1" applyBorder="1" applyFont="1">
      <alignment horizontal="center" readingOrder="0"/>
    </xf>
    <xf borderId="0" fillId="17" fontId="4" numFmtId="0" xfId="0" applyAlignment="1" applyFill="1" applyFont="1">
      <alignment readingOrder="0"/>
    </xf>
    <xf borderId="14" fillId="18" fontId="4" numFmtId="0" xfId="0" applyAlignment="1" applyBorder="1" applyFill="1" applyFont="1">
      <alignment readingOrder="0"/>
    </xf>
    <xf borderId="10" fillId="18" fontId="4" numFmtId="0" xfId="0" applyAlignment="1" applyBorder="1" applyFont="1">
      <alignment readingOrder="0"/>
    </xf>
    <xf borderId="1" fillId="10" fontId="4" numFmtId="0" xfId="0" applyAlignment="1" applyBorder="1" applyFont="1">
      <alignment readingOrder="0"/>
    </xf>
    <xf borderId="1" fillId="12" fontId="4" numFmtId="0" xfId="0" applyAlignment="1" applyBorder="1" applyFont="1">
      <alignment readingOrder="0"/>
    </xf>
    <xf borderId="0" fillId="0" fontId="4" numFmtId="4" xfId="0" applyAlignment="1" applyFont="1" applyNumberFormat="1">
      <alignment readingOrder="0"/>
    </xf>
    <xf borderId="12" fillId="0" fontId="4" numFmtId="4" xfId="0" applyAlignment="1" applyBorder="1" applyFont="1" applyNumberFormat="1">
      <alignment readingOrder="0"/>
    </xf>
    <xf borderId="15" fillId="0" fontId="4" numFmtId="4" xfId="0" applyAlignment="1" applyBorder="1" applyFont="1" applyNumberFormat="1">
      <alignment readingOrder="0"/>
    </xf>
    <xf borderId="8" fillId="0" fontId="4" numFmtId="4" xfId="0" applyAlignment="1" applyBorder="1" applyFont="1" applyNumberFormat="1">
      <alignment readingOrder="0"/>
    </xf>
    <xf borderId="0" fillId="0" fontId="4" numFmtId="9" xfId="0" applyFont="1" applyNumberFormat="1"/>
    <xf borderId="0" fillId="0" fontId="4" numFmtId="4" xfId="0" applyFont="1" applyNumberFormat="1"/>
    <xf borderId="0" fillId="19" fontId="4" numFmtId="0" xfId="0" applyAlignment="1" applyFill="1" applyFont="1">
      <alignment readingOrder="0"/>
    </xf>
    <xf borderId="12" fillId="0" fontId="4" numFmtId="2" xfId="0" applyBorder="1" applyFont="1" applyNumberFormat="1"/>
    <xf borderId="0" fillId="20" fontId="4" numFmtId="0" xfId="0" applyAlignment="1" applyFill="1" applyFont="1">
      <alignment readingOrder="0"/>
    </xf>
    <xf borderId="0" fillId="20" fontId="4" numFmtId="0" xfId="0" applyFont="1"/>
    <xf borderId="12" fillId="0" fontId="4" numFmtId="10" xfId="0" applyBorder="1" applyFont="1" applyNumberFormat="1"/>
    <xf borderId="0" fillId="20" fontId="4" numFmtId="4" xfId="0" applyAlignment="1" applyFont="1" applyNumberFormat="1">
      <alignment readingOrder="0"/>
    </xf>
    <xf borderId="0" fillId="19" fontId="4" numFmtId="4" xfId="0" applyAlignment="1" applyFont="1" applyNumberFormat="1">
      <alignment readingOrder="0"/>
    </xf>
    <xf borderId="12" fillId="0" fontId="4" numFmtId="10" xfId="0" applyAlignment="1" applyBorder="1" applyFont="1" applyNumberFormat="1">
      <alignment readingOrder="0"/>
    </xf>
    <xf borderId="8" fillId="0" fontId="4" numFmtId="10" xfId="0" applyBorder="1" applyFont="1" applyNumberFormat="1"/>
    <xf borderId="0" fillId="20" fontId="4" numFmtId="4" xfId="0" applyFont="1" applyNumberFormat="1"/>
    <xf borderId="0" fillId="4" fontId="4" numFmtId="4" xfId="0" applyAlignment="1" applyFont="1" applyNumberFormat="1">
      <alignment readingOrder="0"/>
    </xf>
    <xf borderId="0" fillId="20" fontId="4" numFmtId="0" xfId="0" applyFont="1"/>
    <xf borderId="0" fillId="21" fontId="4" numFmtId="0" xfId="0" applyAlignment="1" applyFill="1" applyFont="1">
      <alignment readingOrder="0"/>
    </xf>
    <xf borderId="0" fillId="0" fontId="4" numFmtId="0" xfId="0" applyFont="1"/>
    <xf borderId="0" fillId="19" fontId="4" numFmtId="0" xfId="0" applyFont="1"/>
    <xf borderId="0" fillId="21" fontId="4" numFmtId="4" xfId="0" applyAlignment="1" applyFont="1" applyNumberFormat="1">
      <alignment readingOrder="0"/>
    </xf>
    <xf borderId="10" fillId="0" fontId="4" numFmtId="0" xfId="0" applyAlignment="1" applyBorder="1" applyFont="1">
      <alignment readingOrder="0"/>
    </xf>
    <xf borderId="15" fillId="0" fontId="4" numFmtId="10" xfId="0" applyBorder="1" applyFont="1" applyNumberFormat="1"/>
    <xf borderId="12" fillId="0" fontId="2" numFmtId="0" xfId="0" applyBorder="1" applyFont="1"/>
    <xf borderId="15" fillId="0" fontId="2" numFmtId="0" xfId="0" applyBorder="1" applyFont="1"/>
    <xf borderId="8" fillId="0" fontId="2" numFmtId="0" xfId="0" applyBorder="1" applyFont="1"/>
    <xf borderId="1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11" fillId="0" fontId="4" numFmtId="1" xfId="0" applyBorder="1" applyFont="1" applyNumberFormat="1"/>
    <xf borderId="12" fillId="0" fontId="4" numFmtId="1" xfId="0" applyBorder="1" applyFont="1" applyNumberFormat="1"/>
    <xf borderId="15" fillId="0" fontId="4" numFmtId="1" xfId="0" applyBorder="1" applyFont="1" applyNumberFormat="1"/>
    <xf borderId="8" fillId="0" fontId="4" numFmtId="1" xfId="0" applyBorder="1" applyFont="1" applyNumberFormat="1"/>
    <xf borderId="13" fillId="0" fontId="4" numFmtId="1" xfId="0" applyBorder="1" applyFont="1" applyNumberFormat="1"/>
    <xf borderId="9" fillId="0" fontId="4" numFmtId="1" xfId="0" applyAlignment="1" applyBorder="1" applyFont="1" applyNumberFormat="1">
      <alignment readingOrder="0"/>
    </xf>
    <xf borderId="14" fillId="0" fontId="4" numFmtId="1" xfId="0" applyAlignment="1" applyBorder="1" applyFont="1" applyNumberFormat="1">
      <alignment readingOrder="0"/>
    </xf>
    <xf borderId="10" fillId="0" fontId="4" numFmtId="1" xfId="0" applyAlignment="1" applyBorder="1" applyFont="1" applyNumberFormat="1">
      <alignment readingOrder="0"/>
    </xf>
    <xf borderId="9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0" fillId="9" fontId="4" numFmtId="0" xfId="0" applyBorder="1" applyFont="1"/>
    <xf borderId="0" fillId="5" fontId="4" numFmtId="0" xfId="0" applyFont="1"/>
    <xf borderId="0" fillId="5" fontId="4" numFmtId="0" xfId="0" applyAlignment="1" applyFont="1">
      <alignment readingOrder="0"/>
    </xf>
    <xf borderId="12" fillId="5" fontId="4" numFmtId="0" xfId="0" applyBorder="1" applyFont="1"/>
    <xf borderId="15" fillId="5" fontId="4" numFmtId="0" xfId="0" applyBorder="1" applyFont="1"/>
    <xf borderId="15" fillId="7" fontId="4" numFmtId="0" xfId="0" applyBorder="1" applyFont="1"/>
    <xf borderId="8" fillId="7" fontId="4" numFmtId="0" xfId="0" applyBorder="1" applyFont="1"/>
    <xf borderId="0" fillId="13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>
        <color theme="1"/>
      </font>
      <fill>
        <patternFill patternType="solid">
          <fgColor rgb="FFEA9999"/>
          <bgColor rgb="FFEA9999"/>
        </patternFill>
      </fill>
      <border/>
    </dxf>
    <dxf>
      <font>
        <color rgb="FF000000"/>
      </font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>
        <v>130.0</v>
      </c>
      <c r="C2" s="6"/>
      <c r="D2" s="2"/>
      <c r="E2" s="2"/>
      <c r="F2" s="3"/>
      <c r="G2" s="7"/>
    </row>
    <row r="3">
      <c r="A3" s="8" t="s">
        <v>2</v>
      </c>
      <c r="B3" s="3"/>
      <c r="C3" s="9">
        <v>0.0</v>
      </c>
      <c r="D3" s="9">
        <v>0.05</v>
      </c>
      <c r="E3" s="9">
        <v>0.194</v>
      </c>
      <c r="F3" s="9">
        <v>0.244</v>
      </c>
    </row>
    <row r="4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>
      <c r="A5" s="10" t="s">
        <v>5</v>
      </c>
      <c r="B5" s="4" t="s">
        <v>9</v>
      </c>
      <c r="C5" s="11">
        <f t="shared" ref="C5:F5" si="1">(5+5+30+5+20+5+30)*(1+C3)</f>
        <v>100</v>
      </c>
      <c r="D5" s="11">
        <f t="shared" si="1"/>
        <v>105</v>
      </c>
      <c r="E5" s="11">
        <f t="shared" si="1"/>
        <v>119.4</v>
      </c>
      <c r="F5" s="11">
        <f t="shared" si="1"/>
        <v>124.4</v>
      </c>
    </row>
    <row r="6">
      <c r="A6" s="12"/>
      <c r="B6" s="4" t="s">
        <v>10</v>
      </c>
      <c r="C6" s="4">
        <f t="shared" ref="C6:F6" si="2">(5+5+20+5+30+20)*(1+C3)</f>
        <v>85</v>
      </c>
      <c r="D6" s="4">
        <f t="shared" si="2"/>
        <v>89.25</v>
      </c>
      <c r="E6" s="4">
        <f t="shared" si="2"/>
        <v>101.49</v>
      </c>
      <c r="F6" s="4">
        <f t="shared" si="2"/>
        <v>105.74</v>
      </c>
    </row>
    <row r="7">
      <c r="A7" s="10" t="s">
        <v>11</v>
      </c>
      <c r="B7" s="4" t="s">
        <v>9</v>
      </c>
      <c r="C7" s="13">
        <f t="shared" ref="C7:F7" si="3">(5+5+30+5+20+7+5+30)*(1+C3)</f>
        <v>107</v>
      </c>
      <c r="D7" s="13">
        <f t="shared" si="3"/>
        <v>112.35</v>
      </c>
      <c r="E7" s="13">
        <f t="shared" si="3"/>
        <v>127.758</v>
      </c>
      <c r="F7" s="13">
        <f t="shared" si="3"/>
        <v>133.108</v>
      </c>
    </row>
    <row r="8">
      <c r="A8" s="12"/>
      <c r="B8" s="4" t="s">
        <v>10</v>
      </c>
      <c r="C8" s="13">
        <f t="shared" ref="C8:F8" si="4">(5+5+20+7+5+30+5+20+7)*(1+C3)</f>
        <v>104</v>
      </c>
      <c r="D8" s="13">
        <f t="shared" si="4"/>
        <v>109.2</v>
      </c>
      <c r="E8" s="13">
        <f t="shared" si="4"/>
        <v>124.176</v>
      </c>
      <c r="F8" s="13">
        <f t="shared" si="4"/>
        <v>129.376</v>
      </c>
    </row>
    <row r="9">
      <c r="A9" s="10" t="s">
        <v>12</v>
      </c>
      <c r="B9" s="4" t="s">
        <v>9</v>
      </c>
      <c r="C9" s="13">
        <f t="shared" ref="C9:F9" si="5">(5+5+30+5+20+8+5+30)*(1+C3)</f>
        <v>108</v>
      </c>
      <c r="D9" s="13">
        <f t="shared" si="5"/>
        <v>113.4</v>
      </c>
      <c r="E9" s="13">
        <f t="shared" si="5"/>
        <v>128.952</v>
      </c>
      <c r="F9" s="13">
        <f t="shared" si="5"/>
        <v>134.352</v>
      </c>
    </row>
    <row r="10">
      <c r="A10" s="12"/>
      <c r="B10" s="4" t="s">
        <v>10</v>
      </c>
      <c r="C10" s="13">
        <f t="shared" ref="C10:F10" si="6">(5+5+20+8+5+30+5+20+8)*(1+C3)</f>
        <v>106</v>
      </c>
      <c r="D10" s="13">
        <f t="shared" si="6"/>
        <v>111.3</v>
      </c>
      <c r="E10" s="13">
        <f t="shared" si="6"/>
        <v>126.564</v>
      </c>
      <c r="F10" s="13">
        <f t="shared" si="6"/>
        <v>131.864</v>
      </c>
    </row>
    <row r="12">
      <c r="A12" s="1" t="s">
        <v>13</v>
      </c>
      <c r="B12" s="2"/>
      <c r="C12" s="2"/>
      <c r="D12" s="2"/>
      <c r="E12" s="2"/>
      <c r="F12" s="3"/>
    </row>
    <row r="13">
      <c r="A13" s="4" t="s">
        <v>1</v>
      </c>
      <c r="B13" s="5">
        <v>110.0</v>
      </c>
      <c r="C13" s="6"/>
      <c r="D13" s="2"/>
      <c r="E13" s="2"/>
      <c r="F13" s="3"/>
    </row>
    <row r="14">
      <c r="A14" s="8" t="s">
        <v>2</v>
      </c>
      <c r="B14" s="3"/>
      <c r="C14" s="9">
        <v>0.0</v>
      </c>
      <c r="D14" s="9">
        <v>0.05</v>
      </c>
      <c r="E14" s="9">
        <v>0.194</v>
      </c>
      <c r="F14" s="9">
        <v>0.244</v>
      </c>
    </row>
    <row r="15">
      <c r="A15" s="4" t="s">
        <v>3</v>
      </c>
      <c r="B15" s="4" t="s">
        <v>4</v>
      </c>
      <c r="C15" s="4" t="s">
        <v>5</v>
      </c>
      <c r="D15" s="4" t="s">
        <v>6</v>
      </c>
      <c r="E15" s="4" t="s">
        <v>7</v>
      </c>
      <c r="F15" s="4" t="s">
        <v>8</v>
      </c>
    </row>
    <row r="16">
      <c r="A16" s="10" t="s">
        <v>5</v>
      </c>
      <c r="B16" s="14" t="s">
        <v>14</v>
      </c>
      <c r="C16" s="11">
        <f t="shared" ref="C16:F16" si="7">(5+30+20+20)*(1+C14)</f>
        <v>75</v>
      </c>
      <c r="D16" s="11">
        <f t="shared" si="7"/>
        <v>78.75</v>
      </c>
      <c r="E16" s="11">
        <f t="shared" si="7"/>
        <v>89.55</v>
      </c>
      <c r="F16" s="11">
        <f t="shared" si="7"/>
        <v>93.3</v>
      </c>
    </row>
    <row r="17">
      <c r="A17" s="12"/>
      <c r="B17" s="14" t="s">
        <v>15</v>
      </c>
      <c r="C17" s="4">
        <f t="shared" ref="C17:F17" si="8">(5+20+20+20)*(1+C14)</f>
        <v>65</v>
      </c>
      <c r="D17" s="4">
        <f t="shared" si="8"/>
        <v>68.25</v>
      </c>
      <c r="E17" s="4">
        <f t="shared" si="8"/>
        <v>77.61</v>
      </c>
      <c r="F17" s="4">
        <f t="shared" si="8"/>
        <v>80.86</v>
      </c>
    </row>
    <row r="18">
      <c r="A18" s="10" t="s">
        <v>16</v>
      </c>
      <c r="B18" s="14" t="s">
        <v>17</v>
      </c>
      <c r="C18" s="13">
        <f t="shared" ref="C18:F18" si="9">(5+30+8+20+8)*(1+C14)</f>
        <v>71</v>
      </c>
      <c r="D18" s="13">
        <f t="shared" si="9"/>
        <v>74.55</v>
      </c>
      <c r="E18" s="13">
        <f t="shared" si="9"/>
        <v>84.774</v>
      </c>
      <c r="F18" s="13">
        <f t="shared" si="9"/>
        <v>88.324</v>
      </c>
    </row>
    <row r="19">
      <c r="A19" s="15"/>
      <c r="B19" s="14" t="s">
        <v>14</v>
      </c>
      <c r="C19" s="13">
        <f t="shared" ref="C19:F19" si="10">(5+30+8+20+8+20+8)*(1+C14)</f>
        <v>99</v>
      </c>
      <c r="D19" s="13">
        <f t="shared" si="10"/>
        <v>103.95</v>
      </c>
      <c r="E19" s="13">
        <f t="shared" si="10"/>
        <v>118.206</v>
      </c>
      <c r="F19" s="16">
        <f t="shared" si="10"/>
        <v>123.156</v>
      </c>
    </row>
    <row r="20">
      <c r="A20" s="12"/>
      <c r="B20" s="14" t="s">
        <v>15</v>
      </c>
      <c r="C20" s="13">
        <f t="shared" ref="C20:F20" si="11">(5+20+8+20+8+20+8)*(1+C14)</f>
        <v>89</v>
      </c>
      <c r="D20" s="13">
        <f t="shared" si="11"/>
        <v>93.45</v>
      </c>
      <c r="E20" s="13">
        <f t="shared" si="11"/>
        <v>106.266</v>
      </c>
      <c r="F20" s="13">
        <f t="shared" si="11"/>
        <v>110.716</v>
      </c>
    </row>
    <row r="21">
      <c r="A21" s="10" t="s">
        <v>18</v>
      </c>
      <c r="B21" s="14" t="s">
        <v>17</v>
      </c>
      <c r="C21" s="17">
        <f t="shared" ref="C21:F21" si="12">(5+8+30+8+20+8)*(1+C14)</f>
        <v>79</v>
      </c>
      <c r="D21" s="17">
        <f t="shared" si="12"/>
        <v>82.95</v>
      </c>
      <c r="E21" s="17">
        <f t="shared" si="12"/>
        <v>94.326</v>
      </c>
      <c r="F21" s="17">
        <f t="shared" si="12"/>
        <v>98.276</v>
      </c>
      <c r="G21" s="18" t="s">
        <v>19</v>
      </c>
      <c r="H21" s="19"/>
      <c r="I21" s="19"/>
    </row>
    <row r="22">
      <c r="A22" s="15"/>
      <c r="B22" s="14" t="s">
        <v>14</v>
      </c>
      <c r="C22" s="13">
        <f t="shared" ref="C22:F22" si="13">(5+8+30+8+20+8+20+8)*(1+C14)</f>
        <v>107</v>
      </c>
      <c r="D22" s="13">
        <f t="shared" si="13"/>
        <v>112.35</v>
      </c>
      <c r="E22" s="13">
        <f t="shared" si="13"/>
        <v>127.758</v>
      </c>
      <c r="F22" s="13">
        <f t="shared" si="13"/>
        <v>133.108</v>
      </c>
      <c r="H22" s="19"/>
      <c r="I22" s="19"/>
    </row>
    <row r="23">
      <c r="A23" s="12"/>
      <c r="B23" s="20" t="s">
        <v>15</v>
      </c>
      <c r="C23" s="13">
        <f t="shared" ref="C23:F23" si="14">(5+8+20+8+20+8+20+8)*(1+C14)</f>
        <v>97</v>
      </c>
      <c r="D23" s="13">
        <f t="shared" si="14"/>
        <v>101.85</v>
      </c>
      <c r="E23" s="13">
        <f t="shared" si="14"/>
        <v>115.818</v>
      </c>
      <c r="F23" s="13">
        <f t="shared" si="14"/>
        <v>120.668</v>
      </c>
      <c r="H23" s="19"/>
      <c r="I23" s="19"/>
    </row>
    <row r="25">
      <c r="A25" s="1" t="s">
        <v>20</v>
      </c>
      <c r="B25" s="2"/>
      <c r="C25" s="2"/>
      <c r="D25" s="2"/>
      <c r="E25" s="2"/>
      <c r="F25" s="3"/>
    </row>
    <row r="26">
      <c r="A26" s="4" t="s">
        <v>1</v>
      </c>
      <c r="B26" s="5">
        <v>110.0</v>
      </c>
      <c r="C26" s="8" t="s">
        <v>21</v>
      </c>
      <c r="D26" s="2"/>
      <c r="E26" s="2"/>
      <c r="F26" s="3"/>
    </row>
    <row r="27">
      <c r="A27" s="8" t="s">
        <v>2</v>
      </c>
      <c r="B27" s="3"/>
      <c r="C27" s="9">
        <v>0.0</v>
      </c>
      <c r="D27" s="9">
        <v>0.05</v>
      </c>
      <c r="E27" s="9">
        <v>0.194</v>
      </c>
      <c r="F27" s="9">
        <v>0.244</v>
      </c>
    </row>
    <row r="28">
      <c r="A28" s="4" t="s">
        <v>3</v>
      </c>
      <c r="B28" s="4" t="s">
        <v>4</v>
      </c>
      <c r="C28" s="4" t="s">
        <v>5</v>
      </c>
      <c r="D28" s="4" t="s">
        <v>6</v>
      </c>
      <c r="E28" s="4" t="s">
        <v>7</v>
      </c>
      <c r="F28" s="4" t="s">
        <v>8</v>
      </c>
    </row>
    <row r="29">
      <c r="A29" s="10" t="s">
        <v>5</v>
      </c>
      <c r="B29" s="14" t="s">
        <v>17</v>
      </c>
      <c r="C29" s="11">
        <f t="shared" ref="C29:F29" si="15">(5+30+11+20+11)*(1+C27)</f>
        <v>77</v>
      </c>
      <c r="D29" s="11">
        <f t="shared" si="15"/>
        <v>80.85</v>
      </c>
      <c r="E29" s="11">
        <f t="shared" si="15"/>
        <v>91.938</v>
      </c>
      <c r="F29" s="11">
        <f t="shared" si="15"/>
        <v>95.788</v>
      </c>
    </row>
    <row r="30">
      <c r="A30" s="15"/>
      <c r="B30" s="14" t="s">
        <v>22</v>
      </c>
      <c r="C30" s="4">
        <f t="shared" ref="C30:F30" si="16">(5+20+11+20+11)*(1+C27)</f>
        <v>67</v>
      </c>
      <c r="D30" s="4">
        <f t="shared" si="16"/>
        <v>70.35</v>
      </c>
      <c r="E30" s="4">
        <f t="shared" si="16"/>
        <v>79.998</v>
      </c>
      <c r="F30" s="4">
        <f t="shared" si="16"/>
        <v>83.348</v>
      </c>
    </row>
    <row r="31">
      <c r="A31" s="12"/>
      <c r="B31" s="14" t="s">
        <v>14</v>
      </c>
      <c r="C31" s="13">
        <f t="shared" ref="C31:F31" si="17">(5+30+11+20+11+20+11)*(1+C27)</f>
        <v>108</v>
      </c>
      <c r="D31" s="13">
        <f t="shared" si="17"/>
        <v>113.4</v>
      </c>
      <c r="E31" s="13">
        <f t="shared" si="17"/>
        <v>128.952</v>
      </c>
      <c r="F31" s="13">
        <f t="shared" si="17"/>
        <v>134.352</v>
      </c>
    </row>
    <row r="32">
      <c r="A32" s="10" t="s">
        <v>23</v>
      </c>
      <c r="B32" s="14" t="s">
        <v>17</v>
      </c>
      <c r="C32" s="13">
        <f t="shared" ref="C32:F32" si="18">(5+11+30+11+20+11)*(1+C27)</f>
        <v>88</v>
      </c>
      <c r="D32" s="13">
        <f t="shared" si="18"/>
        <v>92.4</v>
      </c>
      <c r="E32" s="13">
        <f t="shared" si="18"/>
        <v>105.072</v>
      </c>
      <c r="F32" s="13">
        <f t="shared" si="18"/>
        <v>109.472</v>
      </c>
    </row>
    <row r="33">
      <c r="A33" s="15"/>
      <c r="B33" s="14" t="s">
        <v>22</v>
      </c>
      <c r="C33" s="13">
        <f t="shared" ref="C33:F33" si="19">(5+11+20+11+20+11)*(1+C27)</f>
        <v>78</v>
      </c>
      <c r="D33" s="13">
        <f t="shared" si="19"/>
        <v>81.9</v>
      </c>
      <c r="E33" s="13">
        <f t="shared" si="19"/>
        <v>93.132</v>
      </c>
      <c r="F33" s="13">
        <f t="shared" si="19"/>
        <v>97.032</v>
      </c>
    </row>
    <row r="34">
      <c r="A34" s="12"/>
      <c r="B34" s="14" t="s">
        <v>14</v>
      </c>
      <c r="C34" s="13">
        <f t="shared" ref="C34:F34" si="20">(5+11+30+11+20+11+20+11)*(1+C27)</f>
        <v>119</v>
      </c>
      <c r="D34" s="13">
        <f t="shared" si="20"/>
        <v>124.95</v>
      </c>
      <c r="E34" s="13">
        <f t="shared" si="20"/>
        <v>142.086</v>
      </c>
      <c r="F34" s="13">
        <f t="shared" si="20"/>
        <v>148.036</v>
      </c>
    </row>
    <row r="35">
      <c r="A35" s="10" t="s">
        <v>16</v>
      </c>
      <c r="B35" s="14" t="s">
        <v>17</v>
      </c>
      <c r="C35" s="13">
        <f t="shared" ref="C35:F35" si="21">(5+11+30+11+8+20+11+8)*(1+C27)</f>
        <v>104</v>
      </c>
      <c r="D35" s="13">
        <f t="shared" si="21"/>
        <v>109.2</v>
      </c>
      <c r="E35" s="13">
        <f t="shared" si="21"/>
        <v>124.176</v>
      </c>
      <c r="F35" s="13">
        <f t="shared" si="21"/>
        <v>129.376</v>
      </c>
    </row>
    <row r="36">
      <c r="A36" s="15"/>
      <c r="B36" s="14" t="s">
        <v>22</v>
      </c>
      <c r="C36" s="13">
        <f t="shared" ref="C36:F36" si="22">(5+11+20+11+8+20+11+8)*(1+C27)</f>
        <v>94</v>
      </c>
      <c r="D36" s="13">
        <f t="shared" si="22"/>
        <v>98.7</v>
      </c>
      <c r="E36" s="13">
        <f t="shared" si="22"/>
        <v>112.236</v>
      </c>
      <c r="F36" s="13">
        <f t="shared" si="22"/>
        <v>116.936</v>
      </c>
    </row>
    <row r="37">
      <c r="A37" s="12"/>
      <c r="B37" s="14" t="s">
        <v>14</v>
      </c>
      <c r="C37" s="13">
        <f t="shared" ref="C37:F37" si="23">(5+11+30+11+8+20+11+8+20+11+8)*(1+C27)</f>
        <v>143</v>
      </c>
      <c r="D37" s="13">
        <f t="shared" si="23"/>
        <v>150.15</v>
      </c>
      <c r="E37" s="13">
        <f t="shared" si="23"/>
        <v>170.742</v>
      </c>
      <c r="F37" s="13">
        <f t="shared" si="23"/>
        <v>177.892</v>
      </c>
    </row>
    <row r="39">
      <c r="A39" s="1" t="s">
        <v>24</v>
      </c>
      <c r="B39" s="2"/>
      <c r="C39" s="2"/>
      <c r="D39" s="2"/>
      <c r="E39" s="2"/>
      <c r="F39" s="3"/>
      <c r="G39" s="21"/>
      <c r="H39" s="21"/>
      <c r="I39" s="21"/>
      <c r="J39" s="21"/>
    </row>
    <row r="40">
      <c r="A40" s="4" t="s">
        <v>1</v>
      </c>
      <c r="B40" s="5">
        <v>120.0</v>
      </c>
      <c r="C40" s="8"/>
      <c r="D40" s="2"/>
      <c r="E40" s="2"/>
      <c r="F40" s="3"/>
      <c r="G40" s="22"/>
      <c r="H40" s="22"/>
      <c r="I40" s="22"/>
      <c r="J40" s="22"/>
    </row>
    <row r="41">
      <c r="A41" s="8" t="s">
        <v>2</v>
      </c>
      <c r="B41" s="3"/>
      <c r="C41" s="9">
        <v>0.0</v>
      </c>
      <c r="D41" s="9">
        <v>0.05</v>
      </c>
      <c r="E41" s="9">
        <v>0.194</v>
      </c>
      <c r="F41" s="9">
        <v>0.244</v>
      </c>
      <c r="G41" s="22"/>
      <c r="H41" s="22"/>
      <c r="I41" s="22"/>
      <c r="J41" s="22"/>
    </row>
    <row r="42">
      <c r="A42" s="4" t="s">
        <v>3</v>
      </c>
      <c r="B42" s="4" t="s">
        <v>4</v>
      </c>
      <c r="C42" s="4" t="s">
        <v>5</v>
      </c>
      <c r="D42" s="4" t="s">
        <v>6</v>
      </c>
      <c r="E42" s="4" t="s">
        <v>7</v>
      </c>
      <c r="F42" s="4" t="s">
        <v>8</v>
      </c>
      <c r="G42" s="22"/>
      <c r="H42" s="22"/>
      <c r="I42" s="22"/>
      <c r="J42" s="22"/>
    </row>
    <row r="43">
      <c r="A43" s="10" t="s">
        <v>5</v>
      </c>
      <c r="B43" s="23" t="s">
        <v>25</v>
      </c>
      <c r="C43" s="11">
        <f t="shared" ref="C43:F43" si="24">(5+30+30+30)*(1+C41)</f>
        <v>95</v>
      </c>
      <c r="D43" s="11">
        <f t="shared" si="24"/>
        <v>99.75</v>
      </c>
      <c r="E43" s="11">
        <f t="shared" si="24"/>
        <v>113.43</v>
      </c>
      <c r="F43" s="11">
        <f t="shared" si="24"/>
        <v>118.18</v>
      </c>
      <c r="G43" s="22"/>
      <c r="H43" s="22"/>
      <c r="I43" s="22"/>
      <c r="J43" s="22"/>
    </row>
    <row r="44">
      <c r="A44" s="12"/>
      <c r="B44" s="23" t="s">
        <v>26</v>
      </c>
      <c r="C44" s="24">
        <f t="shared" ref="C44:F44" si="25">(20+30+30+30)*(1+C41)</f>
        <v>110</v>
      </c>
      <c r="D44" s="24">
        <f t="shared" si="25"/>
        <v>115.5</v>
      </c>
      <c r="E44" s="24">
        <f t="shared" si="25"/>
        <v>131.34</v>
      </c>
      <c r="F44" s="24">
        <f t="shared" si="25"/>
        <v>136.84</v>
      </c>
      <c r="G44" s="22"/>
      <c r="H44" s="22"/>
      <c r="I44" s="22"/>
      <c r="J44" s="22"/>
    </row>
    <row r="45">
      <c r="A45" s="10" t="s">
        <v>27</v>
      </c>
      <c r="B45" s="23" t="s">
        <v>25</v>
      </c>
      <c r="C45" s="11">
        <f t="shared" ref="C45:F45" si="26">(5+30+30+30)*(1+C41+10%)</f>
        <v>104.5</v>
      </c>
      <c r="D45" s="11">
        <f t="shared" si="26"/>
        <v>109.25</v>
      </c>
      <c r="E45" s="11">
        <f t="shared" si="26"/>
        <v>122.93</v>
      </c>
      <c r="F45" s="11">
        <f t="shared" si="26"/>
        <v>127.68</v>
      </c>
    </row>
    <row r="46">
      <c r="A46" s="15"/>
      <c r="B46" s="23" t="s">
        <v>26</v>
      </c>
      <c r="C46" s="24">
        <f t="shared" ref="C46:F46" si="27">(20+30+30+30)*(1+C41+10%)</f>
        <v>121</v>
      </c>
      <c r="D46" s="24">
        <f t="shared" si="27"/>
        <v>126.5</v>
      </c>
      <c r="E46" s="24">
        <f t="shared" si="27"/>
        <v>142.34</v>
      </c>
      <c r="F46" s="24">
        <f t="shared" si="27"/>
        <v>147.84</v>
      </c>
      <c r="G46" s="21"/>
      <c r="H46" s="21"/>
      <c r="I46" s="21"/>
      <c r="J46" s="21"/>
    </row>
    <row r="47">
      <c r="A47" s="25" t="s">
        <v>28</v>
      </c>
      <c r="B47" s="26" t="s">
        <v>29</v>
      </c>
      <c r="C47" s="27">
        <f t="shared" ref="C47:F47" si="28">(5+30+30)*(1+C41+16%)</f>
        <v>75.4</v>
      </c>
      <c r="D47" s="27">
        <f t="shared" si="28"/>
        <v>78.65</v>
      </c>
      <c r="E47" s="27">
        <f t="shared" si="28"/>
        <v>88.01</v>
      </c>
      <c r="F47" s="27">
        <f t="shared" si="28"/>
        <v>91.26</v>
      </c>
      <c r="G47" s="7"/>
      <c r="H47" s="7"/>
      <c r="I47" s="7"/>
      <c r="J47" s="7"/>
    </row>
    <row r="48">
      <c r="A48" s="15"/>
      <c r="B48" s="28" t="s">
        <v>25</v>
      </c>
      <c r="C48" s="27">
        <f t="shared" ref="C48:F48" si="29">(5+30+30+30)*(1+C41+16%)</f>
        <v>110.2</v>
      </c>
      <c r="D48" s="27">
        <f t="shared" si="29"/>
        <v>114.95</v>
      </c>
      <c r="E48" s="27">
        <f t="shared" si="29"/>
        <v>128.63</v>
      </c>
      <c r="F48" s="27">
        <f t="shared" si="29"/>
        <v>133.38</v>
      </c>
      <c r="G48" s="7"/>
      <c r="H48" s="7"/>
      <c r="I48" s="7"/>
      <c r="J48" s="7"/>
    </row>
    <row r="49">
      <c r="A49" s="15"/>
      <c r="B49" s="29" t="s">
        <v>26</v>
      </c>
      <c r="C49" s="30">
        <f t="shared" ref="C49:F49" si="30">(20+30+30+30)*(1+C41+16%)</f>
        <v>127.6</v>
      </c>
      <c r="D49" s="30">
        <f t="shared" si="30"/>
        <v>133.1</v>
      </c>
      <c r="E49" s="30">
        <f t="shared" si="30"/>
        <v>148.94</v>
      </c>
      <c r="F49" s="30">
        <f t="shared" si="30"/>
        <v>154.44</v>
      </c>
      <c r="G49" s="7"/>
      <c r="H49" s="7"/>
      <c r="I49" s="7"/>
      <c r="J49" s="7"/>
    </row>
    <row r="50">
      <c r="A50" s="25" t="s">
        <v>30</v>
      </c>
      <c r="B50" s="31" t="s">
        <v>29</v>
      </c>
      <c r="C50" s="32">
        <f t="shared" ref="C50:F50" si="31">(5+30+30)*(1+C41+18%)</f>
        <v>76.7</v>
      </c>
      <c r="D50" s="32">
        <f t="shared" si="31"/>
        <v>79.95</v>
      </c>
      <c r="E50" s="32">
        <f t="shared" si="31"/>
        <v>89.31</v>
      </c>
      <c r="F50" s="32">
        <f t="shared" si="31"/>
        <v>92.56</v>
      </c>
      <c r="G50" s="7"/>
      <c r="H50" s="7"/>
      <c r="I50" s="7"/>
      <c r="J50" s="7"/>
    </row>
    <row r="51">
      <c r="A51" s="15"/>
      <c r="B51" s="28" t="s">
        <v>25</v>
      </c>
      <c r="C51" s="27">
        <f t="shared" ref="C51:F51" si="32">(5+30+30+30)*(1+C41+18%)</f>
        <v>112.1</v>
      </c>
      <c r="D51" s="27">
        <f t="shared" si="32"/>
        <v>116.85</v>
      </c>
      <c r="E51" s="27">
        <f t="shared" si="32"/>
        <v>130.53</v>
      </c>
      <c r="F51" s="27">
        <f t="shared" si="32"/>
        <v>135.28</v>
      </c>
      <c r="G51" s="7"/>
      <c r="H51" s="7"/>
      <c r="I51" s="7"/>
      <c r="J51" s="7"/>
    </row>
    <row r="52">
      <c r="A52" s="12"/>
      <c r="B52" s="29" t="s">
        <v>26</v>
      </c>
      <c r="C52" s="30">
        <f t="shared" ref="C52:F52" si="33">(20+30+30+30)*(1+C41+18%)</f>
        <v>129.8</v>
      </c>
      <c r="D52" s="30">
        <f t="shared" si="33"/>
        <v>135.3</v>
      </c>
      <c r="E52" s="30">
        <f t="shared" si="33"/>
        <v>151.14</v>
      </c>
      <c r="F52" s="30">
        <f t="shared" si="33"/>
        <v>156.64</v>
      </c>
      <c r="G52" s="7"/>
      <c r="H52" s="7"/>
      <c r="I52" s="7"/>
      <c r="J52" s="7"/>
    </row>
    <row r="53">
      <c r="G53" s="7"/>
      <c r="H53" s="7"/>
      <c r="I53" s="7"/>
      <c r="J53" s="7"/>
    </row>
    <row r="54">
      <c r="A54" s="1" t="s">
        <v>31</v>
      </c>
      <c r="B54" s="2"/>
      <c r="C54" s="2"/>
      <c r="D54" s="2"/>
      <c r="E54" s="2"/>
      <c r="F54" s="3"/>
      <c r="G54" s="33"/>
      <c r="H54" s="33"/>
      <c r="I54" s="33"/>
      <c r="J54" s="33"/>
    </row>
    <row r="55">
      <c r="A55" s="4" t="s">
        <v>1</v>
      </c>
      <c r="B55" s="5">
        <v>135.0</v>
      </c>
      <c r="C55" s="6"/>
      <c r="D55" s="2"/>
      <c r="E55" s="2"/>
      <c r="F55" s="3"/>
      <c r="G55" s="34"/>
      <c r="H55" s="34"/>
      <c r="I55" s="34"/>
      <c r="J55" s="34"/>
    </row>
    <row r="56">
      <c r="A56" s="8" t="s">
        <v>2</v>
      </c>
      <c r="B56" s="3"/>
      <c r="C56" s="9">
        <v>0.0</v>
      </c>
      <c r="D56" s="9">
        <v>0.05</v>
      </c>
      <c r="E56" s="9">
        <v>0.194</v>
      </c>
      <c r="F56" s="9">
        <v>0.244</v>
      </c>
      <c r="G56" s="35"/>
      <c r="H56" s="35"/>
      <c r="I56" s="35"/>
      <c r="J56" s="35"/>
    </row>
    <row r="57">
      <c r="A57" s="4" t="s">
        <v>3</v>
      </c>
      <c r="B57" s="4" t="s">
        <v>4</v>
      </c>
      <c r="C57" s="4" t="s">
        <v>5</v>
      </c>
      <c r="D57" s="4" t="s">
        <v>6</v>
      </c>
      <c r="E57" s="4" t="s">
        <v>7</v>
      </c>
      <c r="F57" s="4" t="s">
        <v>8</v>
      </c>
      <c r="G57" s="34"/>
      <c r="H57" s="34"/>
      <c r="I57" s="34"/>
      <c r="J57" s="34"/>
    </row>
    <row r="58">
      <c r="A58" s="10" t="s">
        <v>5</v>
      </c>
      <c r="B58" s="14" t="s">
        <v>32</v>
      </c>
      <c r="C58" s="11">
        <f t="shared" ref="C58:F58" si="34">(5+20+20+30+20)*(1+C56)</f>
        <v>95</v>
      </c>
      <c r="D58" s="11">
        <f t="shared" si="34"/>
        <v>99.75</v>
      </c>
      <c r="E58" s="11">
        <f t="shared" si="34"/>
        <v>113.43</v>
      </c>
      <c r="F58" s="11">
        <f t="shared" si="34"/>
        <v>118.18</v>
      </c>
      <c r="G58" s="36"/>
      <c r="H58" s="36"/>
      <c r="I58" s="36"/>
      <c r="J58" s="36"/>
    </row>
    <row r="59">
      <c r="A59" s="12"/>
      <c r="B59" s="14" t="s">
        <v>33</v>
      </c>
      <c r="C59" s="4">
        <f t="shared" ref="C59:F59" si="35">(5+20+20+30+20+20)*(1+C56)</f>
        <v>115</v>
      </c>
      <c r="D59" s="4">
        <f t="shared" si="35"/>
        <v>120.75</v>
      </c>
      <c r="E59" s="4">
        <f t="shared" si="35"/>
        <v>137.31</v>
      </c>
      <c r="F59" s="4">
        <f t="shared" si="35"/>
        <v>143.06</v>
      </c>
      <c r="G59" s="36"/>
      <c r="H59" s="36"/>
      <c r="I59" s="36"/>
      <c r="J59" s="36"/>
    </row>
    <row r="60">
      <c r="A60" s="10" t="s">
        <v>34</v>
      </c>
      <c r="B60" s="14" t="s">
        <v>32</v>
      </c>
      <c r="C60" s="11">
        <f t="shared" ref="C60:F60" si="36">(5+20+20+30+20)*(1+C56+10%)</f>
        <v>104.5</v>
      </c>
      <c r="D60" s="11">
        <f t="shared" si="36"/>
        <v>109.25</v>
      </c>
      <c r="E60" s="11">
        <f t="shared" si="36"/>
        <v>122.93</v>
      </c>
      <c r="F60" s="11">
        <f t="shared" si="36"/>
        <v>127.68</v>
      </c>
      <c r="G60" s="36"/>
      <c r="H60" s="36"/>
      <c r="I60" s="36"/>
      <c r="J60" s="36"/>
    </row>
    <row r="61">
      <c r="A61" s="12"/>
      <c r="B61" s="14" t="s">
        <v>33</v>
      </c>
      <c r="C61" s="4">
        <f t="shared" ref="C61:F61" si="37">(5+20+20+30+20+20)*(1+C56+10%)</f>
        <v>126.5</v>
      </c>
      <c r="D61" s="4">
        <f t="shared" si="37"/>
        <v>132.25</v>
      </c>
      <c r="E61" s="4">
        <f t="shared" si="37"/>
        <v>148.81</v>
      </c>
      <c r="F61" s="4">
        <f t="shared" si="37"/>
        <v>154.56</v>
      </c>
      <c r="G61" s="36"/>
      <c r="H61" s="36"/>
      <c r="I61" s="36"/>
      <c r="J61" s="36"/>
    </row>
    <row r="63">
      <c r="A63" s="37" t="s">
        <v>35</v>
      </c>
      <c r="B63" s="2"/>
      <c r="C63" s="2"/>
      <c r="D63" s="2"/>
      <c r="E63" s="2"/>
      <c r="F63" s="2"/>
      <c r="G63" s="2"/>
      <c r="H63" s="2"/>
      <c r="I63" s="2"/>
      <c r="J63" s="3"/>
    </row>
    <row r="64">
      <c r="A64" s="38" t="s">
        <v>1</v>
      </c>
      <c r="B64" s="39">
        <v>140.0</v>
      </c>
      <c r="C64" s="40" t="s">
        <v>36</v>
      </c>
      <c r="D64" s="2"/>
      <c r="E64" s="2"/>
      <c r="F64" s="3"/>
      <c r="G64" s="40" t="s">
        <v>37</v>
      </c>
      <c r="H64" s="2"/>
      <c r="I64" s="2"/>
      <c r="J64" s="3"/>
    </row>
    <row r="65">
      <c r="A65" s="41" t="s">
        <v>2</v>
      </c>
      <c r="B65" s="3"/>
      <c r="C65" s="42">
        <v>0.0</v>
      </c>
      <c r="D65" s="42">
        <v>0.05</v>
      </c>
      <c r="E65" s="42">
        <v>0.194</v>
      </c>
      <c r="F65" s="42">
        <v>0.244</v>
      </c>
      <c r="G65" s="42">
        <v>0.0</v>
      </c>
      <c r="H65" s="42">
        <v>0.05</v>
      </c>
      <c r="I65" s="42">
        <v>0.194</v>
      </c>
      <c r="J65" s="42">
        <v>0.244</v>
      </c>
    </row>
    <row r="66">
      <c r="A66" s="43" t="s">
        <v>3</v>
      </c>
      <c r="B66" s="43" t="s">
        <v>4</v>
      </c>
      <c r="C66" s="43" t="s">
        <v>5</v>
      </c>
      <c r="D66" s="43" t="s">
        <v>6</v>
      </c>
      <c r="E66" s="43" t="s">
        <v>7</v>
      </c>
      <c r="F66" s="43" t="s">
        <v>8</v>
      </c>
      <c r="G66" s="43" t="s">
        <v>5</v>
      </c>
      <c r="H66" s="43" t="s">
        <v>6</v>
      </c>
      <c r="I66" s="43" t="s">
        <v>7</v>
      </c>
      <c r="J66" s="43" t="s">
        <v>8</v>
      </c>
    </row>
    <row r="67">
      <c r="A67" s="44" t="s">
        <v>5</v>
      </c>
      <c r="B67" s="43" t="s">
        <v>9</v>
      </c>
      <c r="C67" s="45">
        <f t="shared" ref="C67:F67" si="38">(5+30+20+30+12)*(1+C65)</f>
        <v>97</v>
      </c>
      <c r="D67" s="45">
        <f t="shared" si="38"/>
        <v>101.85</v>
      </c>
      <c r="E67" s="45">
        <f t="shared" si="38"/>
        <v>115.818</v>
      </c>
      <c r="F67" s="45">
        <f t="shared" si="38"/>
        <v>120.668</v>
      </c>
      <c r="G67" s="45">
        <f t="shared" ref="G67:J67" si="39">(5+30+20+30+6)*(1+G65)</f>
        <v>91</v>
      </c>
      <c r="H67" s="45">
        <f t="shared" si="39"/>
        <v>95.55</v>
      </c>
      <c r="I67" s="45">
        <f t="shared" si="39"/>
        <v>108.654</v>
      </c>
      <c r="J67" s="45">
        <f t="shared" si="39"/>
        <v>113.204</v>
      </c>
    </row>
    <row r="68">
      <c r="A68" s="15"/>
      <c r="B68" s="43" t="s">
        <v>10</v>
      </c>
      <c r="C68" s="45">
        <f t="shared" ref="C68:F68" si="40">(5+20+30+20+12)*(1+C65)</f>
        <v>87</v>
      </c>
      <c r="D68" s="45">
        <f t="shared" si="40"/>
        <v>91.35</v>
      </c>
      <c r="E68" s="45">
        <f t="shared" si="40"/>
        <v>103.878</v>
      </c>
      <c r="F68" s="45">
        <f t="shared" si="40"/>
        <v>108.228</v>
      </c>
      <c r="G68" s="45">
        <f t="shared" ref="G68:J68" si="41">(5+20+30+20+6)*(1+G65)</f>
        <v>81</v>
      </c>
      <c r="H68" s="45">
        <f t="shared" si="41"/>
        <v>85.05</v>
      </c>
      <c r="I68" s="45">
        <f t="shared" si="41"/>
        <v>96.714</v>
      </c>
      <c r="J68" s="45">
        <f t="shared" si="41"/>
        <v>100.764</v>
      </c>
    </row>
    <row r="69">
      <c r="A69" s="12"/>
      <c r="B69" s="14" t="s">
        <v>38</v>
      </c>
      <c r="C69" s="46">
        <f t="shared" ref="C69:F69" si="42">(5+20+30+20+30+24)*(1+C65)</f>
        <v>129</v>
      </c>
      <c r="D69" s="46">
        <f t="shared" si="42"/>
        <v>135.45</v>
      </c>
      <c r="E69" s="46">
        <f t="shared" si="42"/>
        <v>154.026</v>
      </c>
      <c r="F69" s="46">
        <f t="shared" si="42"/>
        <v>160.476</v>
      </c>
      <c r="G69" s="46">
        <f t="shared" ref="G69:J69" si="43">(5+20+30+20+30+12)*(1+G65)</f>
        <v>117</v>
      </c>
      <c r="H69" s="46">
        <f t="shared" si="43"/>
        <v>122.85</v>
      </c>
      <c r="I69" s="46">
        <f t="shared" si="43"/>
        <v>139.698</v>
      </c>
      <c r="J69" s="46">
        <f t="shared" si="43"/>
        <v>145.548</v>
      </c>
    </row>
    <row r="70">
      <c r="A70" s="47" t="s">
        <v>39</v>
      </c>
      <c r="B70" s="43" t="s">
        <v>9</v>
      </c>
      <c r="C70" s="45">
        <f t="shared" ref="C70:F70" si="44">(5+30+20+30+12)*(1+(C65+12%))</f>
        <v>108.64</v>
      </c>
      <c r="D70" s="45">
        <f t="shared" si="44"/>
        <v>113.49</v>
      </c>
      <c r="E70" s="45">
        <f t="shared" si="44"/>
        <v>127.458</v>
      </c>
      <c r="F70" s="45">
        <f t="shared" si="44"/>
        <v>132.308</v>
      </c>
      <c r="G70" s="45">
        <f t="shared" ref="G70:J70" si="45">(5+30+20+30+6)*(1+(G65+12%))</f>
        <v>101.92</v>
      </c>
      <c r="H70" s="45">
        <f t="shared" si="45"/>
        <v>106.47</v>
      </c>
      <c r="I70" s="45">
        <f t="shared" si="45"/>
        <v>119.574</v>
      </c>
      <c r="J70" s="45">
        <f t="shared" si="45"/>
        <v>124.124</v>
      </c>
    </row>
    <row r="71">
      <c r="A71" s="15"/>
      <c r="B71" s="43" t="s">
        <v>10</v>
      </c>
      <c r="C71" s="45">
        <f t="shared" ref="C71:F71" si="46">(5+20+30+20+12)*(1+(C65+12%))</f>
        <v>97.44</v>
      </c>
      <c r="D71" s="45">
        <f t="shared" si="46"/>
        <v>101.79</v>
      </c>
      <c r="E71" s="45">
        <f t="shared" si="46"/>
        <v>114.318</v>
      </c>
      <c r="F71" s="45">
        <f t="shared" si="46"/>
        <v>118.668</v>
      </c>
      <c r="G71" s="45">
        <f t="shared" ref="G71:J71" si="47">(5+20+30+20+6)*(1+(G65+12%))</f>
        <v>90.72</v>
      </c>
      <c r="H71" s="45">
        <f t="shared" si="47"/>
        <v>94.77</v>
      </c>
      <c r="I71" s="45">
        <f t="shared" si="47"/>
        <v>106.434</v>
      </c>
      <c r="J71" s="45">
        <f t="shared" si="47"/>
        <v>110.484</v>
      </c>
    </row>
    <row r="72">
      <c r="A72" s="12"/>
      <c r="B72" s="14" t="s">
        <v>38</v>
      </c>
      <c r="C72" s="46">
        <f t="shared" ref="C72:F72" si="48">(5+20+30+20+30+24)*(1+(C65+12%))</f>
        <v>144.48</v>
      </c>
      <c r="D72" s="46">
        <f t="shared" si="48"/>
        <v>150.93</v>
      </c>
      <c r="E72" s="46">
        <f t="shared" si="48"/>
        <v>169.506</v>
      </c>
      <c r="F72" s="46">
        <f t="shared" si="48"/>
        <v>175.956</v>
      </c>
      <c r="G72" s="46">
        <f t="shared" ref="G72:J72" si="49">(5+20+30+20+30+12)*(1+(G65+12%))</f>
        <v>131.04</v>
      </c>
      <c r="H72" s="46">
        <f t="shared" si="49"/>
        <v>136.89</v>
      </c>
      <c r="I72" s="46">
        <f t="shared" si="49"/>
        <v>153.738</v>
      </c>
      <c r="J72" s="46">
        <f t="shared" si="49"/>
        <v>159.588</v>
      </c>
    </row>
    <row r="73">
      <c r="A73" s="47" t="s">
        <v>40</v>
      </c>
      <c r="B73" s="48" t="s">
        <v>9</v>
      </c>
      <c r="C73" s="45">
        <f t="shared" ref="C73:F73" si="50">(5+30+20+30+12)*(1+(C65+14%))</f>
        <v>110.58</v>
      </c>
      <c r="D73" s="45">
        <f t="shared" si="50"/>
        <v>115.43</v>
      </c>
      <c r="E73" s="45">
        <f t="shared" si="50"/>
        <v>129.398</v>
      </c>
      <c r="F73" s="45">
        <f t="shared" si="50"/>
        <v>134.248</v>
      </c>
      <c r="G73" s="45">
        <f t="shared" ref="G73:J73" si="51">(5+30+20+30+6)*(1+(G65+14%))</f>
        <v>103.74</v>
      </c>
      <c r="H73" s="45">
        <f t="shared" si="51"/>
        <v>108.29</v>
      </c>
      <c r="I73" s="45">
        <f t="shared" si="51"/>
        <v>121.394</v>
      </c>
      <c r="J73" s="45">
        <f t="shared" si="51"/>
        <v>125.944</v>
      </c>
    </row>
    <row r="74">
      <c r="A74" s="15"/>
      <c r="B74" s="48" t="s">
        <v>10</v>
      </c>
      <c r="C74" s="45">
        <f t="shared" ref="C74:F74" si="52">(5+20+30+20+12)*(1+(C65+14%))</f>
        <v>99.18</v>
      </c>
      <c r="D74" s="45">
        <f t="shared" si="52"/>
        <v>103.53</v>
      </c>
      <c r="E74" s="45">
        <f t="shared" si="52"/>
        <v>116.058</v>
      </c>
      <c r="F74" s="45">
        <f t="shared" si="52"/>
        <v>120.408</v>
      </c>
      <c r="G74" s="45">
        <f t="shared" ref="G74:J74" si="53">(5+20+30+20+6)*(1+(G65+14%))</f>
        <v>92.34</v>
      </c>
      <c r="H74" s="45">
        <f t="shared" si="53"/>
        <v>96.39</v>
      </c>
      <c r="I74" s="45">
        <f t="shared" si="53"/>
        <v>108.054</v>
      </c>
      <c r="J74" s="45">
        <f t="shared" si="53"/>
        <v>112.104</v>
      </c>
    </row>
    <row r="75">
      <c r="A75" s="12"/>
      <c r="B75" s="14" t="s">
        <v>38</v>
      </c>
      <c r="C75" s="46">
        <f t="shared" ref="C75:F75" si="54">(5+20+30+20+30+24)*(1+(C65+14%))</f>
        <v>147.06</v>
      </c>
      <c r="D75" s="46">
        <f t="shared" si="54"/>
        <v>153.51</v>
      </c>
      <c r="E75" s="46">
        <f t="shared" si="54"/>
        <v>172.086</v>
      </c>
      <c r="F75" s="46">
        <f t="shared" si="54"/>
        <v>178.536</v>
      </c>
      <c r="G75" s="46">
        <f t="shared" ref="G75:J75" si="55">(5+20+30+20+30+12)*(1+(G65+14%))</f>
        <v>133.38</v>
      </c>
      <c r="H75" s="46">
        <f t="shared" si="55"/>
        <v>139.23</v>
      </c>
      <c r="I75" s="46">
        <f t="shared" si="55"/>
        <v>156.078</v>
      </c>
      <c r="J75" s="46">
        <f t="shared" si="55"/>
        <v>161.928</v>
      </c>
    </row>
    <row r="76">
      <c r="A76" s="47" t="s">
        <v>41</v>
      </c>
      <c r="B76" s="48" t="s">
        <v>9</v>
      </c>
      <c r="C76" s="45">
        <f t="shared" ref="C76:F76" si="56">(5+30+20+30+12)*(1+(C65+16%))</f>
        <v>112.52</v>
      </c>
      <c r="D76" s="45">
        <f t="shared" si="56"/>
        <v>117.37</v>
      </c>
      <c r="E76" s="45">
        <f t="shared" si="56"/>
        <v>131.338</v>
      </c>
      <c r="F76" s="45">
        <f t="shared" si="56"/>
        <v>136.188</v>
      </c>
      <c r="G76" s="45">
        <f t="shared" ref="G76:J76" si="57">(5+30+20+30+6)*(1+(G65+16%))</f>
        <v>105.56</v>
      </c>
      <c r="H76" s="45">
        <f t="shared" si="57"/>
        <v>110.11</v>
      </c>
      <c r="I76" s="45">
        <f t="shared" si="57"/>
        <v>123.214</v>
      </c>
      <c r="J76" s="45">
        <f t="shared" si="57"/>
        <v>127.764</v>
      </c>
    </row>
    <row r="77">
      <c r="A77" s="15"/>
      <c r="B77" s="48" t="s">
        <v>10</v>
      </c>
      <c r="C77" s="45">
        <f t="shared" ref="C77:F77" si="58">(5+20+30+20+12)*(1+(C65+16%))</f>
        <v>100.92</v>
      </c>
      <c r="D77" s="45">
        <f t="shared" si="58"/>
        <v>105.27</v>
      </c>
      <c r="E77" s="45">
        <f t="shared" si="58"/>
        <v>117.798</v>
      </c>
      <c r="F77" s="45">
        <f t="shared" si="58"/>
        <v>122.148</v>
      </c>
      <c r="G77" s="45">
        <f t="shared" ref="G77:J77" si="59">(5+20+30+20+6)*(1+(G65+16%))</f>
        <v>93.96</v>
      </c>
      <c r="H77" s="45">
        <f t="shared" si="59"/>
        <v>98.01</v>
      </c>
      <c r="I77" s="45">
        <f t="shared" si="59"/>
        <v>109.674</v>
      </c>
      <c r="J77" s="45">
        <f t="shared" si="59"/>
        <v>113.724</v>
      </c>
    </row>
    <row r="78">
      <c r="A78" s="12"/>
      <c r="B78" s="14" t="s">
        <v>38</v>
      </c>
      <c r="C78" s="46">
        <f t="shared" ref="C78:F78" si="60">(5+20+30+20+30+24)*(1+(C65+16%))</f>
        <v>149.64</v>
      </c>
      <c r="D78" s="46">
        <f t="shared" si="60"/>
        <v>156.09</v>
      </c>
      <c r="E78" s="46">
        <f t="shared" si="60"/>
        <v>174.666</v>
      </c>
      <c r="F78" s="46">
        <f t="shared" si="60"/>
        <v>181.116</v>
      </c>
      <c r="G78" s="46">
        <f t="shared" ref="G78:J78" si="61">(5+20+30+20+30+12)*(1+(G65+16%))</f>
        <v>135.72</v>
      </c>
      <c r="H78" s="46">
        <f t="shared" si="61"/>
        <v>141.57</v>
      </c>
      <c r="I78" s="46">
        <f t="shared" si="61"/>
        <v>158.418</v>
      </c>
      <c r="J78" s="46">
        <f t="shared" si="61"/>
        <v>164.268</v>
      </c>
    </row>
    <row r="80">
      <c r="A80" s="1" t="s">
        <v>42</v>
      </c>
      <c r="B80" s="2"/>
      <c r="C80" s="2"/>
      <c r="D80" s="2"/>
      <c r="E80" s="2"/>
      <c r="F80" s="3"/>
    </row>
    <row r="81">
      <c r="A81" s="4" t="s">
        <v>1</v>
      </c>
      <c r="B81" s="5">
        <v>100.0</v>
      </c>
      <c r="C81" s="6"/>
      <c r="D81" s="2"/>
      <c r="E81" s="2"/>
      <c r="F81" s="3"/>
    </row>
    <row r="82">
      <c r="A82" s="8" t="s">
        <v>2</v>
      </c>
      <c r="B82" s="3"/>
      <c r="C82" s="9">
        <v>0.0</v>
      </c>
      <c r="D82" s="9">
        <v>0.05</v>
      </c>
      <c r="E82" s="9">
        <v>0.194</v>
      </c>
      <c r="F82" s="9">
        <v>0.244</v>
      </c>
    </row>
    <row r="83">
      <c r="A83" s="14" t="s">
        <v>3</v>
      </c>
      <c r="B83" s="14" t="s">
        <v>4</v>
      </c>
      <c r="C83" s="14" t="s">
        <v>5</v>
      </c>
      <c r="D83" s="14" t="s">
        <v>6</v>
      </c>
      <c r="E83" s="14" t="s">
        <v>7</v>
      </c>
      <c r="F83" s="14" t="s">
        <v>8</v>
      </c>
    </row>
    <row r="84">
      <c r="A84" s="47" t="s">
        <v>5</v>
      </c>
      <c r="B84" s="14" t="s">
        <v>43</v>
      </c>
      <c r="C84" s="46">
        <f t="shared" ref="C84:F84" si="62">(5+20+20)*(1+C82)</f>
        <v>45</v>
      </c>
      <c r="D84" s="46">
        <f t="shared" si="62"/>
        <v>47.25</v>
      </c>
      <c r="E84" s="46">
        <f t="shared" si="62"/>
        <v>53.73</v>
      </c>
      <c r="F84" s="46">
        <f t="shared" si="62"/>
        <v>55.98</v>
      </c>
    </row>
    <row r="85">
      <c r="A85" s="15"/>
      <c r="B85" s="14" t="s">
        <v>44</v>
      </c>
      <c r="C85" s="14">
        <f t="shared" ref="C85:F85" si="63">(5+20+20+20)*(1+C82)</f>
        <v>65</v>
      </c>
      <c r="D85" s="14">
        <f t="shared" si="63"/>
        <v>68.25</v>
      </c>
      <c r="E85" s="14">
        <f t="shared" si="63"/>
        <v>77.61</v>
      </c>
      <c r="F85" s="14">
        <f t="shared" si="63"/>
        <v>80.86</v>
      </c>
    </row>
    <row r="86">
      <c r="A86" s="12"/>
      <c r="B86" s="14" t="s">
        <v>45</v>
      </c>
      <c r="C86" s="46">
        <f t="shared" ref="C86:F86" si="64">(5+30+20+20)*(1+C82)</f>
        <v>75</v>
      </c>
      <c r="D86" s="46">
        <f t="shared" si="64"/>
        <v>78.75</v>
      </c>
      <c r="E86" s="46">
        <f t="shared" si="64"/>
        <v>89.55</v>
      </c>
      <c r="F86" s="46">
        <f t="shared" si="64"/>
        <v>93.3</v>
      </c>
    </row>
    <row r="87">
      <c r="A87" s="47" t="s">
        <v>46</v>
      </c>
      <c r="B87" s="14" t="s">
        <v>43</v>
      </c>
      <c r="C87" s="24">
        <f t="shared" ref="C87:F87" si="65">(5+20+20)*(1+C82+12%)</f>
        <v>50.4</v>
      </c>
      <c r="D87" s="24">
        <f t="shared" si="65"/>
        <v>52.65</v>
      </c>
      <c r="E87" s="24">
        <f t="shared" si="65"/>
        <v>59.13</v>
      </c>
      <c r="F87" s="24">
        <f t="shared" si="65"/>
        <v>61.38</v>
      </c>
    </row>
    <row r="88">
      <c r="A88" s="15"/>
      <c r="B88" s="14" t="s">
        <v>44</v>
      </c>
      <c r="C88" s="24">
        <f t="shared" ref="C88:F88" si="66">(5+20+20+20)*(1+C82+12%)</f>
        <v>72.8</v>
      </c>
      <c r="D88" s="24">
        <f t="shared" si="66"/>
        <v>76.05</v>
      </c>
      <c r="E88" s="24">
        <f t="shared" si="66"/>
        <v>85.41</v>
      </c>
      <c r="F88" s="24">
        <f t="shared" si="66"/>
        <v>88.66</v>
      </c>
    </row>
    <row r="89">
      <c r="A89" s="12"/>
      <c r="B89" s="14" t="s">
        <v>45</v>
      </c>
      <c r="C89" s="46">
        <f t="shared" ref="C89:F89" si="67">(5+30+20+20)*(1+C82+12%)</f>
        <v>84</v>
      </c>
      <c r="D89" s="46">
        <f t="shared" si="67"/>
        <v>87.75</v>
      </c>
      <c r="E89" s="46">
        <f t="shared" si="67"/>
        <v>98.55</v>
      </c>
      <c r="F89" s="46">
        <f t="shared" si="67"/>
        <v>102.3</v>
      </c>
    </row>
    <row r="90">
      <c r="A90" s="47" t="s">
        <v>40</v>
      </c>
      <c r="B90" s="14" t="s">
        <v>43</v>
      </c>
      <c r="C90" s="24">
        <f t="shared" ref="C90:F90" si="68">(5+20+20)*(1+C82+14%)</f>
        <v>51.3</v>
      </c>
      <c r="D90" s="24">
        <f t="shared" si="68"/>
        <v>53.55</v>
      </c>
      <c r="E90" s="24">
        <f t="shared" si="68"/>
        <v>60.03</v>
      </c>
      <c r="F90" s="24">
        <f t="shared" si="68"/>
        <v>62.28</v>
      </c>
    </row>
    <row r="91">
      <c r="A91" s="15"/>
      <c r="B91" s="14" t="s">
        <v>44</v>
      </c>
      <c r="C91" s="24">
        <f t="shared" ref="C91:F91" si="69">(5+20+20+20)*(1+C82+14%)</f>
        <v>74.1</v>
      </c>
      <c r="D91" s="24">
        <f t="shared" si="69"/>
        <v>77.35</v>
      </c>
      <c r="E91" s="24">
        <f t="shared" si="69"/>
        <v>86.71</v>
      </c>
      <c r="F91" s="24">
        <f t="shared" si="69"/>
        <v>89.96</v>
      </c>
    </row>
    <row r="92">
      <c r="A92" s="12"/>
      <c r="B92" s="14" t="s">
        <v>45</v>
      </c>
      <c r="C92" s="46">
        <f t="shared" ref="C92:F92" si="70">(5+30+20+20)*(1+C82+14%)</f>
        <v>85.5</v>
      </c>
      <c r="D92" s="46">
        <f t="shared" si="70"/>
        <v>89.25</v>
      </c>
      <c r="E92" s="46">
        <f t="shared" si="70"/>
        <v>100.05</v>
      </c>
      <c r="F92" s="46">
        <f t="shared" si="70"/>
        <v>103.8</v>
      </c>
    </row>
    <row r="93">
      <c r="A93" s="47" t="s">
        <v>41</v>
      </c>
      <c r="B93" s="14" t="s">
        <v>43</v>
      </c>
      <c r="C93" s="24">
        <f t="shared" ref="C93:F93" si="71">(5+20+20)*(1+C82+16%)</f>
        <v>52.2</v>
      </c>
      <c r="D93" s="24">
        <f t="shared" si="71"/>
        <v>54.45</v>
      </c>
      <c r="E93" s="24">
        <f t="shared" si="71"/>
        <v>60.93</v>
      </c>
      <c r="F93" s="24">
        <f t="shared" si="71"/>
        <v>63.18</v>
      </c>
    </row>
    <row r="94">
      <c r="A94" s="15"/>
      <c r="B94" s="14" t="s">
        <v>44</v>
      </c>
      <c r="C94" s="24">
        <f t="shared" ref="C94:F94" si="72">(5+20+20+20)*(1+C82+16%)</f>
        <v>75.4</v>
      </c>
      <c r="D94" s="24">
        <f t="shared" si="72"/>
        <v>78.65</v>
      </c>
      <c r="E94" s="24">
        <f t="shared" si="72"/>
        <v>88.01</v>
      </c>
      <c r="F94" s="24">
        <f t="shared" si="72"/>
        <v>91.26</v>
      </c>
    </row>
    <row r="95">
      <c r="A95" s="12"/>
      <c r="B95" s="14" t="s">
        <v>45</v>
      </c>
      <c r="C95" s="46">
        <f t="shared" ref="C95:F95" si="73">(5+30+20+20)*(1+C82+16%)</f>
        <v>87</v>
      </c>
      <c r="D95" s="46">
        <f t="shared" si="73"/>
        <v>90.75</v>
      </c>
      <c r="E95" s="46">
        <f t="shared" si="73"/>
        <v>101.55</v>
      </c>
      <c r="F95" s="46">
        <f t="shared" si="73"/>
        <v>105.3</v>
      </c>
    </row>
    <row r="97">
      <c r="A97" s="1" t="s">
        <v>47</v>
      </c>
      <c r="B97" s="2"/>
      <c r="C97" s="2"/>
      <c r="D97" s="2"/>
      <c r="E97" s="2"/>
      <c r="F97" s="3"/>
    </row>
    <row r="98">
      <c r="A98" s="4" t="s">
        <v>1</v>
      </c>
      <c r="B98" s="5">
        <v>130.0</v>
      </c>
      <c r="C98" s="8" t="s">
        <v>48</v>
      </c>
      <c r="D98" s="2"/>
      <c r="E98" s="2"/>
      <c r="F98" s="3"/>
    </row>
    <row r="99">
      <c r="A99" s="8" t="s">
        <v>2</v>
      </c>
      <c r="B99" s="3"/>
      <c r="C99" s="9">
        <v>0.0</v>
      </c>
      <c r="D99" s="9">
        <v>0.05</v>
      </c>
      <c r="E99" s="9">
        <v>0.194</v>
      </c>
      <c r="F99" s="9">
        <v>0.244</v>
      </c>
    </row>
    <row r="100">
      <c r="A100" s="4" t="s">
        <v>3</v>
      </c>
      <c r="B100" s="4" t="s">
        <v>4</v>
      </c>
      <c r="C100" s="4" t="s">
        <v>5</v>
      </c>
      <c r="D100" s="4" t="s">
        <v>6</v>
      </c>
      <c r="E100" s="4" t="s">
        <v>7</v>
      </c>
      <c r="F100" s="4" t="s">
        <v>8</v>
      </c>
    </row>
    <row r="101">
      <c r="A101" s="10" t="s">
        <v>5</v>
      </c>
      <c r="B101" s="14" t="s">
        <v>29</v>
      </c>
      <c r="C101" s="11">
        <f t="shared" ref="C101:F101" si="74">(5+30+4+30+4)*(1+C99)</f>
        <v>73</v>
      </c>
      <c r="D101" s="11">
        <f t="shared" si="74"/>
        <v>76.65</v>
      </c>
      <c r="E101" s="11">
        <f t="shared" si="74"/>
        <v>87.162</v>
      </c>
      <c r="F101" s="11">
        <f t="shared" si="74"/>
        <v>90.812</v>
      </c>
    </row>
    <row r="102">
      <c r="A102" s="12"/>
      <c r="B102" s="14" t="s">
        <v>25</v>
      </c>
      <c r="C102" s="4">
        <f t="shared" ref="C102:F102" si="75">(5+30+4+30+4+30+4)*(1+C99)</f>
        <v>107</v>
      </c>
      <c r="D102" s="4">
        <f t="shared" si="75"/>
        <v>112.35</v>
      </c>
      <c r="E102" s="4">
        <f t="shared" si="75"/>
        <v>127.758</v>
      </c>
      <c r="F102" s="4">
        <f t="shared" si="75"/>
        <v>133.108</v>
      </c>
    </row>
    <row r="103">
      <c r="A103" s="10" t="s">
        <v>11</v>
      </c>
      <c r="B103" s="14" t="s">
        <v>29</v>
      </c>
      <c r="C103" s="13">
        <f t="shared" ref="C103:F103" si="76">(5+7+30+4+30+4)*(1+C99)</f>
        <v>80</v>
      </c>
      <c r="D103" s="13">
        <f t="shared" si="76"/>
        <v>84</v>
      </c>
      <c r="E103" s="13">
        <f t="shared" si="76"/>
        <v>95.52</v>
      </c>
      <c r="F103" s="13">
        <f t="shared" si="76"/>
        <v>99.52</v>
      </c>
    </row>
    <row r="104">
      <c r="A104" s="12"/>
      <c r="B104" s="14" t="s">
        <v>25</v>
      </c>
      <c r="C104" s="13">
        <f t="shared" ref="C104:F104" si="77">(5+7+30+4+30+4+30+4)*(1+C99)</f>
        <v>114</v>
      </c>
      <c r="D104" s="13">
        <f t="shared" si="77"/>
        <v>119.7</v>
      </c>
      <c r="E104" s="13">
        <f t="shared" si="77"/>
        <v>136.116</v>
      </c>
      <c r="F104" s="13">
        <f t="shared" si="77"/>
        <v>141.816</v>
      </c>
    </row>
    <row r="105">
      <c r="A105" s="10" t="s">
        <v>12</v>
      </c>
      <c r="B105" s="14" t="s">
        <v>29</v>
      </c>
      <c r="C105" s="13">
        <f t="shared" ref="C105:F105" si="78">(5+8+30+4+30+4)*(1+C99)</f>
        <v>81</v>
      </c>
      <c r="D105" s="13">
        <f t="shared" si="78"/>
        <v>85.05</v>
      </c>
      <c r="E105" s="13">
        <f t="shared" si="78"/>
        <v>96.714</v>
      </c>
      <c r="F105" s="13">
        <f t="shared" si="78"/>
        <v>100.764</v>
      </c>
    </row>
    <row r="106">
      <c r="A106" s="12"/>
      <c r="B106" s="14" t="s">
        <v>25</v>
      </c>
      <c r="C106" s="13">
        <f t="shared" ref="C106:F106" si="79">(5+8+30+4+30+4+30+4)*(1+C99)</f>
        <v>115</v>
      </c>
      <c r="D106" s="13">
        <f t="shared" si="79"/>
        <v>120.75</v>
      </c>
      <c r="E106" s="13">
        <f t="shared" si="79"/>
        <v>137.31</v>
      </c>
      <c r="F106" s="13">
        <f t="shared" si="79"/>
        <v>143.06</v>
      </c>
    </row>
    <row r="107">
      <c r="A107" s="4" t="s">
        <v>3</v>
      </c>
      <c r="B107" s="4" t="s">
        <v>49</v>
      </c>
      <c r="C107" s="8" t="s">
        <v>50</v>
      </c>
      <c r="D107" s="2"/>
      <c r="E107" s="2"/>
      <c r="F107" s="3"/>
    </row>
    <row r="108">
      <c r="A108" s="10" t="s">
        <v>5</v>
      </c>
      <c r="B108" s="14" t="s">
        <v>29</v>
      </c>
      <c r="C108" s="11">
        <f t="shared" ref="C108:F108" si="80">(5+30+4+30+4+10)*(1+C99)</f>
        <v>83</v>
      </c>
      <c r="D108" s="11">
        <f t="shared" si="80"/>
        <v>87.15</v>
      </c>
      <c r="E108" s="11">
        <f t="shared" si="80"/>
        <v>99.102</v>
      </c>
      <c r="F108" s="11">
        <f t="shared" si="80"/>
        <v>103.252</v>
      </c>
    </row>
    <row r="109">
      <c r="A109" s="12"/>
      <c r="B109" s="14" t="s">
        <v>25</v>
      </c>
      <c r="C109" s="4">
        <f t="shared" ref="C109:F109" si="81">(5+30+4+30+4+30+4+10)*(1+C99)</f>
        <v>117</v>
      </c>
      <c r="D109" s="4">
        <f t="shared" si="81"/>
        <v>122.85</v>
      </c>
      <c r="E109" s="4">
        <f t="shared" si="81"/>
        <v>139.698</v>
      </c>
      <c r="F109" s="4">
        <f t="shared" si="81"/>
        <v>145.548</v>
      </c>
    </row>
    <row r="110">
      <c r="A110" s="10" t="s">
        <v>11</v>
      </c>
      <c r="B110" s="14" t="s">
        <v>29</v>
      </c>
      <c r="C110" s="13">
        <f t="shared" ref="C110:F110" si="82">(5+7+30+4+30+4+10)*(1+C99)</f>
        <v>90</v>
      </c>
      <c r="D110" s="13">
        <f t="shared" si="82"/>
        <v>94.5</v>
      </c>
      <c r="E110" s="13">
        <f t="shared" si="82"/>
        <v>107.46</v>
      </c>
      <c r="F110" s="13">
        <f t="shared" si="82"/>
        <v>111.96</v>
      </c>
    </row>
    <row r="111">
      <c r="A111" s="12"/>
      <c r="B111" s="14" t="s">
        <v>25</v>
      </c>
      <c r="C111" s="13">
        <f t="shared" ref="C111:F111" si="83">(5+7+30+4+30+4+30+4+10)*(1+C99)</f>
        <v>124</v>
      </c>
      <c r="D111" s="13">
        <f t="shared" si="83"/>
        <v>130.2</v>
      </c>
      <c r="E111" s="13">
        <f t="shared" si="83"/>
        <v>148.056</v>
      </c>
      <c r="F111" s="13">
        <f t="shared" si="83"/>
        <v>154.256</v>
      </c>
    </row>
    <row r="112">
      <c r="A112" s="10" t="s">
        <v>12</v>
      </c>
      <c r="B112" s="14" t="s">
        <v>29</v>
      </c>
      <c r="C112" s="13">
        <f t="shared" ref="C112:F112" si="84">(5+8+30+4+30+4+10)*(1+C99)</f>
        <v>91</v>
      </c>
      <c r="D112" s="13">
        <f t="shared" si="84"/>
        <v>95.55</v>
      </c>
      <c r="E112" s="13">
        <f t="shared" si="84"/>
        <v>108.654</v>
      </c>
      <c r="F112" s="13">
        <f t="shared" si="84"/>
        <v>113.204</v>
      </c>
    </row>
    <row r="113">
      <c r="A113" s="12"/>
      <c r="B113" s="14" t="s">
        <v>25</v>
      </c>
      <c r="C113" s="13">
        <f t="shared" ref="C113:F113" si="85">(5+8+30+4+30+4+30+4+10)*(1+C99)</f>
        <v>125</v>
      </c>
      <c r="D113" s="13">
        <f t="shared" si="85"/>
        <v>131.25</v>
      </c>
      <c r="E113" s="13">
        <f t="shared" si="85"/>
        <v>149.25</v>
      </c>
      <c r="F113" s="13">
        <f t="shared" si="85"/>
        <v>155.5</v>
      </c>
    </row>
    <row r="114">
      <c r="A114" s="4" t="s">
        <v>3</v>
      </c>
      <c r="B114" s="4" t="s">
        <v>51</v>
      </c>
      <c r="C114" s="8" t="s">
        <v>52</v>
      </c>
      <c r="D114" s="2"/>
      <c r="E114" s="2"/>
      <c r="F114" s="3"/>
    </row>
    <row r="115">
      <c r="A115" s="10" t="s">
        <v>5</v>
      </c>
      <c r="B115" s="14" t="s">
        <v>29</v>
      </c>
      <c r="C115" s="11">
        <f t="shared" ref="C115:F115" si="86">(5+30+6+30+4+10)*(1+C99)</f>
        <v>85</v>
      </c>
      <c r="D115" s="11">
        <f t="shared" si="86"/>
        <v>89.25</v>
      </c>
      <c r="E115" s="11">
        <f t="shared" si="86"/>
        <v>101.49</v>
      </c>
      <c r="F115" s="11">
        <f t="shared" si="86"/>
        <v>105.74</v>
      </c>
    </row>
    <row r="116">
      <c r="A116" s="12"/>
      <c r="B116" s="14" t="s">
        <v>25</v>
      </c>
      <c r="C116" s="4">
        <f t="shared" ref="C116:F116" si="87">(5+30+6+30+4+30+4+10)*(1+C99)</f>
        <v>119</v>
      </c>
      <c r="D116" s="4">
        <f t="shared" si="87"/>
        <v>124.95</v>
      </c>
      <c r="E116" s="4">
        <f t="shared" si="87"/>
        <v>142.086</v>
      </c>
      <c r="F116" s="4">
        <f t="shared" si="87"/>
        <v>148.036</v>
      </c>
    </row>
    <row r="117">
      <c r="A117" s="10" t="s">
        <v>11</v>
      </c>
      <c r="B117" s="14" t="s">
        <v>29</v>
      </c>
      <c r="C117" s="13">
        <f t="shared" ref="C117:F117" si="88">(5+7+30+6+30+4+10)*(1+C99)</f>
        <v>92</v>
      </c>
      <c r="D117" s="13">
        <f t="shared" si="88"/>
        <v>96.6</v>
      </c>
      <c r="E117" s="13">
        <f t="shared" si="88"/>
        <v>109.848</v>
      </c>
      <c r="F117" s="13">
        <f t="shared" si="88"/>
        <v>114.448</v>
      </c>
    </row>
    <row r="118">
      <c r="A118" s="12"/>
      <c r="B118" s="14" t="s">
        <v>25</v>
      </c>
      <c r="C118" s="13">
        <f t="shared" ref="C118:F118" si="89">(5+7+30+6+30+4+30+4+10)*(1+C99)</f>
        <v>126</v>
      </c>
      <c r="D118" s="13">
        <f t="shared" si="89"/>
        <v>132.3</v>
      </c>
      <c r="E118" s="13">
        <f t="shared" si="89"/>
        <v>150.444</v>
      </c>
      <c r="F118" s="13">
        <f t="shared" si="89"/>
        <v>156.744</v>
      </c>
    </row>
    <row r="119">
      <c r="A119" s="10" t="s">
        <v>12</v>
      </c>
      <c r="B119" s="14" t="s">
        <v>29</v>
      </c>
      <c r="C119" s="13">
        <f t="shared" ref="C119:F119" si="90">(5+8+30+6+30+4+10)*(1+C99)</f>
        <v>93</v>
      </c>
      <c r="D119" s="13">
        <f t="shared" si="90"/>
        <v>97.65</v>
      </c>
      <c r="E119" s="13">
        <f t="shared" si="90"/>
        <v>111.042</v>
      </c>
      <c r="F119" s="13">
        <f t="shared" si="90"/>
        <v>115.692</v>
      </c>
    </row>
    <row r="120">
      <c r="A120" s="12"/>
      <c r="B120" s="14" t="s">
        <v>25</v>
      </c>
      <c r="C120" s="13">
        <f t="shared" ref="C120:F120" si="91">(5+8+30+6+30+4+30+4+10)*(1+C99)</f>
        <v>127</v>
      </c>
      <c r="D120" s="13">
        <f t="shared" si="91"/>
        <v>133.35</v>
      </c>
      <c r="E120" s="13">
        <f t="shared" si="91"/>
        <v>151.638</v>
      </c>
      <c r="F120" s="13">
        <f t="shared" si="91"/>
        <v>157.988</v>
      </c>
    </row>
    <row r="122">
      <c r="A122" s="1" t="s">
        <v>53</v>
      </c>
      <c r="B122" s="2"/>
      <c r="C122" s="2"/>
      <c r="D122" s="2"/>
      <c r="E122" s="2"/>
      <c r="F122" s="3"/>
    </row>
    <row r="123">
      <c r="A123" s="4" t="s">
        <v>1</v>
      </c>
      <c r="B123" s="5">
        <v>130.0</v>
      </c>
      <c r="C123" s="6"/>
      <c r="D123" s="2"/>
      <c r="E123" s="2"/>
      <c r="F123" s="3"/>
    </row>
    <row r="124">
      <c r="A124" s="8" t="s">
        <v>2</v>
      </c>
      <c r="B124" s="3"/>
      <c r="C124" s="9">
        <v>0.0</v>
      </c>
      <c r="D124" s="9">
        <v>0.05</v>
      </c>
      <c r="E124" s="9">
        <v>0.194</v>
      </c>
      <c r="F124" s="9">
        <v>0.244</v>
      </c>
    </row>
    <row r="125">
      <c r="A125" s="4" t="s">
        <v>3</v>
      </c>
      <c r="B125" s="4" t="s">
        <v>4</v>
      </c>
      <c r="C125" s="4" t="s">
        <v>5</v>
      </c>
      <c r="D125" s="4" t="s">
        <v>6</v>
      </c>
      <c r="E125" s="4" t="s">
        <v>7</v>
      </c>
      <c r="F125" s="4" t="s">
        <v>8</v>
      </c>
    </row>
    <row r="126">
      <c r="A126" s="10" t="s">
        <v>5</v>
      </c>
      <c r="B126" s="14" t="s">
        <v>14</v>
      </c>
      <c r="C126" s="11">
        <f t="shared" ref="C126:F126" si="92">(5+5+30+5+20+5+20)*(1+C124)</f>
        <v>90</v>
      </c>
      <c r="D126" s="11">
        <f t="shared" si="92"/>
        <v>94.5</v>
      </c>
      <c r="E126" s="11">
        <f t="shared" si="92"/>
        <v>107.46</v>
      </c>
      <c r="F126" s="11">
        <f t="shared" si="92"/>
        <v>111.96</v>
      </c>
    </row>
    <row r="127">
      <c r="A127" s="12"/>
      <c r="B127" s="14" t="s">
        <v>54</v>
      </c>
      <c r="C127" s="4">
        <f t="shared" ref="C127:F127" si="93">(5+5+30+5+20+5+20+5+20)*(1+C124)</f>
        <v>115</v>
      </c>
      <c r="D127" s="4">
        <f t="shared" si="93"/>
        <v>120.75</v>
      </c>
      <c r="E127" s="4">
        <f t="shared" si="93"/>
        <v>137.31</v>
      </c>
      <c r="F127" s="4">
        <f t="shared" si="93"/>
        <v>143.06</v>
      </c>
    </row>
    <row r="128">
      <c r="A128" s="10" t="s">
        <v>11</v>
      </c>
      <c r="B128" s="14" t="s">
        <v>14</v>
      </c>
      <c r="C128" s="13">
        <f t="shared" ref="C128:F128" si="94">(5+5+30+5+20+7+5+20+7)*(1+C124)</f>
        <v>104</v>
      </c>
      <c r="D128" s="13">
        <f t="shared" si="94"/>
        <v>109.2</v>
      </c>
      <c r="E128" s="13">
        <f t="shared" si="94"/>
        <v>124.176</v>
      </c>
      <c r="F128" s="13">
        <f t="shared" si="94"/>
        <v>129.376</v>
      </c>
    </row>
    <row r="129">
      <c r="A129" s="12"/>
      <c r="B129" s="14" t="s">
        <v>54</v>
      </c>
      <c r="C129" s="13">
        <f t="shared" ref="C129:F129" si="95">(5+5+30+5+20+7+5+20+7+5+20+7)*(1+C124)</f>
        <v>136</v>
      </c>
      <c r="D129" s="13">
        <f t="shared" si="95"/>
        <v>142.8</v>
      </c>
      <c r="E129" s="13">
        <f t="shared" si="95"/>
        <v>162.384</v>
      </c>
      <c r="F129" s="13">
        <f t="shared" si="95"/>
        <v>169.184</v>
      </c>
    </row>
    <row r="130">
      <c r="A130" s="10" t="s">
        <v>12</v>
      </c>
      <c r="B130" s="14" t="s">
        <v>14</v>
      </c>
      <c r="C130" s="13">
        <f t="shared" ref="C130:F130" si="96">(5+5+30+5+20+8+5+20+8)*(1+C124)</f>
        <v>106</v>
      </c>
      <c r="D130" s="13">
        <f t="shared" si="96"/>
        <v>111.3</v>
      </c>
      <c r="E130" s="13">
        <f t="shared" si="96"/>
        <v>126.564</v>
      </c>
      <c r="F130" s="13">
        <f t="shared" si="96"/>
        <v>131.864</v>
      </c>
    </row>
    <row r="131">
      <c r="A131" s="12"/>
      <c r="B131" s="14" t="s">
        <v>54</v>
      </c>
      <c r="C131" s="13">
        <f t="shared" ref="C131:F131" si="97">(5+5+30+5+20+8+5+20+8+5+20+8)*(1+C124)</f>
        <v>139</v>
      </c>
      <c r="D131" s="13">
        <f t="shared" si="97"/>
        <v>145.95</v>
      </c>
      <c r="E131" s="13">
        <f t="shared" si="97"/>
        <v>165.966</v>
      </c>
      <c r="F131" s="13">
        <f t="shared" si="97"/>
        <v>172.916</v>
      </c>
    </row>
    <row r="133">
      <c r="A133" s="1" t="s">
        <v>55</v>
      </c>
      <c r="B133" s="2"/>
      <c r="C133" s="2"/>
      <c r="D133" s="2"/>
      <c r="E133" s="2"/>
      <c r="F133" s="3"/>
    </row>
    <row r="134">
      <c r="A134" s="4" t="s">
        <v>1</v>
      </c>
      <c r="B134" s="5">
        <v>120.0</v>
      </c>
      <c r="C134" s="8"/>
      <c r="D134" s="2"/>
      <c r="E134" s="2"/>
      <c r="F134" s="3"/>
    </row>
    <row r="135">
      <c r="A135" s="8" t="s">
        <v>2</v>
      </c>
      <c r="B135" s="3"/>
      <c r="C135" s="9">
        <v>0.0</v>
      </c>
      <c r="D135" s="9">
        <v>0.05</v>
      </c>
      <c r="E135" s="9">
        <v>0.194</v>
      </c>
      <c r="F135" s="9">
        <v>0.244</v>
      </c>
    </row>
    <row r="136">
      <c r="A136" s="4" t="s">
        <v>3</v>
      </c>
      <c r="B136" s="4" t="s">
        <v>4</v>
      </c>
      <c r="C136" s="4" t="s">
        <v>5</v>
      </c>
      <c r="D136" s="4" t="s">
        <v>6</v>
      </c>
      <c r="E136" s="4" t="s">
        <v>7</v>
      </c>
      <c r="F136" s="4" t="s">
        <v>8</v>
      </c>
    </row>
    <row r="137">
      <c r="A137" s="10" t="s">
        <v>5</v>
      </c>
      <c r="B137" s="14" t="s">
        <v>17</v>
      </c>
      <c r="C137" s="11">
        <f t="shared" ref="C137:F137" si="98">(5+30+20)*(1+C135)</f>
        <v>55</v>
      </c>
      <c r="D137" s="11">
        <f t="shared" si="98"/>
        <v>57.75</v>
      </c>
      <c r="E137" s="11">
        <f t="shared" si="98"/>
        <v>65.67</v>
      </c>
      <c r="F137" s="11">
        <f t="shared" si="98"/>
        <v>68.42</v>
      </c>
    </row>
    <row r="138">
      <c r="A138" s="12"/>
      <c r="B138" s="14" t="s">
        <v>29</v>
      </c>
      <c r="C138" s="4">
        <f t="shared" ref="C138:F138" si="99">(5+30+30)*(1+C135)</f>
        <v>65</v>
      </c>
      <c r="D138" s="4">
        <f t="shared" si="99"/>
        <v>68.25</v>
      </c>
      <c r="E138" s="4">
        <f t="shared" si="99"/>
        <v>77.61</v>
      </c>
      <c r="F138" s="4">
        <f t="shared" si="99"/>
        <v>80.86</v>
      </c>
    </row>
    <row r="139">
      <c r="A139" s="10" t="s">
        <v>11</v>
      </c>
      <c r="B139" s="14" t="s">
        <v>29</v>
      </c>
      <c r="C139" s="13">
        <f t="shared" ref="C139:F139" si="100">(5+30+7+20+7)*(1+C135)</f>
        <v>69</v>
      </c>
      <c r="D139" s="13">
        <f t="shared" si="100"/>
        <v>72.45</v>
      </c>
      <c r="E139" s="13">
        <f t="shared" si="100"/>
        <v>82.386</v>
      </c>
      <c r="F139" s="13">
        <f t="shared" si="100"/>
        <v>85.836</v>
      </c>
    </row>
    <row r="140">
      <c r="A140" s="12"/>
      <c r="B140" s="14" t="s">
        <v>17</v>
      </c>
      <c r="C140" s="13">
        <f t="shared" ref="C140:F140" si="101">(5+30+7+30+7)*(1+C135)</f>
        <v>79</v>
      </c>
      <c r="D140" s="13">
        <f t="shared" si="101"/>
        <v>82.95</v>
      </c>
      <c r="E140" s="13">
        <f t="shared" si="101"/>
        <v>94.326</v>
      </c>
      <c r="F140" s="13">
        <f t="shared" si="101"/>
        <v>98.276</v>
      </c>
    </row>
    <row r="141">
      <c r="A141" s="10" t="s">
        <v>12</v>
      </c>
      <c r="B141" s="14" t="s">
        <v>17</v>
      </c>
      <c r="C141" s="13">
        <f t="shared" ref="C141:F141" si="102">(5+30+8+20+8)*(1+C135)</f>
        <v>71</v>
      </c>
      <c r="D141" s="13">
        <f t="shared" si="102"/>
        <v>74.55</v>
      </c>
      <c r="E141" s="13">
        <f t="shared" si="102"/>
        <v>84.774</v>
      </c>
      <c r="F141" s="13">
        <f t="shared" si="102"/>
        <v>88.324</v>
      </c>
    </row>
    <row r="142">
      <c r="A142" s="12"/>
      <c r="B142" s="14" t="s">
        <v>29</v>
      </c>
      <c r="C142" s="13">
        <f t="shared" ref="C142:F142" si="103">(5+30+8+30+8)*(1+C135)</f>
        <v>81</v>
      </c>
      <c r="D142" s="13">
        <f t="shared" si="103"/>
        <v>85.05</v>
      </c>
      <c r="E142" s="13">
        <f t="shared" si="103"/>
        <v>96.714</v>
      </c>
      <c r="F142" s="13">
        <f t="shared" si="103"/>
        <v>100.764</v>
      </c>
    </row>
    <row r="143">
      <c r="A143" s="4" t="s">
        <v>3</v>
      </c>
      <c r="B143" s="4" t="s">
        <v>56</v>
      </c>
      <c r="C143" s="8" t="s">
        <v>57</v>
      </c>
      <c r="D143" s="2"/>
      <c r="E143" s="2"/>
      <c r="F143" s="3"/>
    </row>
    <row r="144">
      <c r="A144" s="10" t="s">
        <v>5</v>
      </c>
      <c r="B144" s="14" t="s">
        <v>17</v>
      </c>
      <c r="C144" s="11">
        <f t="shared" ref="C144:F144" si="104">(5+36+20)*(1+C135)</f>
        <v>61</v>
      </c>
      <c r="D144" s="11">
        <f t="shared" si="104"/>
        <v>64.05</v>
      </c>
      <c r="E144" s="11">
        <f t="shared" si="104"/>
        <v>72.834</v>
      </c>
      <c r="F144" s="11">
        <f t="shared" si="104"/>
        <v>75.884</v>
      </c>
    </row>
    <row r="145">
      <c r="A145" s="12"/>
      <c r="B145" s="14" t="s">
        <v>29</v>
      </c>
      <c r="C145" s="4">
        <f t="shared" ref="C145:F145" si="105">(5+36+36)*(1+C135)</f>
        <v>77</v>
      </c>
      <c r="D145" s="4">
        <f t="shared" si="105"/>
        <v>80.85</v>
      </c>
      <c r="E145" s="4">
        <f t="shared" si="105"/>
        <v>91.938</v>
      </c>
      <c r="F145" s="4">
        <f t="shared" si="105"/>
        <v>95.788</v>
      </c>
    </row>
    <row r="146">
      <c r="A146" s="10" t="s">
        <v>11</v>
      </c>
      <c r="B146" s="14" t="s">
        <v>17</v>
      </c>
      <c r="C146" s="13">
        <f t="shared" ref="C146:F146" si="106">(5+36+7+20+7)*(1+C135)</f>
        <v>75</v>
      </c>
      <c r="D146" s="13">
        <f t="shared" si="106"/>
        <v>78.75</v>
      </c>
      <c r="E146" s="13">
        <f t="shared" si="106"/>
        <v>89.55</v>
      </c>
      <c r="F146" s="13">
        <f t="shared" si="106"/>
        <v>93.3</v>
      </c>
    </row>
    <row r="147">
      <c r="A147" s="12"/>
      <c r="B147" s="14" t="s">
        <v>29</v>
      </c>
      <c r="C147" s="13">
        <f t="shared" ref="C147:F147" si="107">(5+36+7+36+7)*(1+C135)</f>
        <v>91</v>
      </c>
      <c r="D147" s="13">
        <f t="shared" si="107"/>
        <v>95.55</v>
      </c>
      <c r="E147" s="13">
        <f t="shared" si="107"/>
        <v>108.654</v>
      </c>
      <c r="F147" s="13">
        <f t="shared" si="107"/>
        <v>113.204</v>
      </c>
    </row>
    <row r="148">
      <c r="A148" s="10" t="s">
        <v>12</v>
      </c>
      <c r="B148" s="14" t="s">
        <v>17</v>
      </c>
      <c r="C148" s="13">
        <f t="shared" ref="C148:F148" si="108">(5+36+8+20+8)*(1+C135)</f>
        <v>77</v>
      </c>
      <c r="D148" s="13">
        <f t="shared" si="108"/>
        <v>80.85</v>
      </c>
      <c r="E148" s="13">
        <f t="shared" si="108"/>
        <v>91.938</v>
      </c>
      <c r="F148" s="13">
        <f t="shared" si="108"/>
        <v>95.788</v>
      </c>
    </row>
    <row r="149">
      <c r="A149" s="12"/>
      <c r="B149" s="14" t="s">
        <v>29</v>
      </c>
      <c r="C149" s="13">
        <f t="shared" ref="C149:F149" si="109">(5+36+8+36+8)*(1+C135)</f>
        <v>93</v>
      </c>
      <c r="D149" s="13">
        <f t="shared" si="109"/>
        <v>97.65</v>
      </c>
      <c r="E149" s="13">
        <f t="shared" si="109"/>
        <v>111.042</v>
      </c>
      <c r="F149" s="13">
        <f t="shared" si="109"/>
        <v>115.692</v>
      </c>
    </row>
    <row r="150">
      <c r="A150" s="4" t="s">
        <v>3</v>
      </c>
      <c r="B150" s="4" t="s">
        <v>58</v>
      </c>
      <c r="C150" s="8" t="s">
        <v>59</v>
      </c>
      <c r="D150" s="2"/>
      <c r="E150" s="2"/>
      <c r="F150" s="3"/>
    </row>
    <row r="151">
      <c r="A151" s="10" t="s">
        <v>5</v>
      </c>
      <c r="B151" s="14" t="s">
        <v>17</v>
      </c>
      <c r="C151" s="11">
        <f t="shared" ref="C151:F151" si="110">(5+36+20)*(1+C135+15%)</f>
        <v>70.15</v>
      </c>
      <c r="D151" s="11">
        <f t="shared" si="110"/>
        <v>73.2</v>
      </c>
      <c r="E151" s="11">
        <f t="shared" si="110"/>
        <v>81.984</v>
      </c>
      <c r="F151" s="11">
        <f t="shared" si="110"/>
        <v>85.034</v>
      </c>
    </row>
    <row r="152">
      <c r="A152" s="12"/>
      <c r="B152" s="14" t="s">
        <v>29</v>
      </c>
      <c r="C152" s="4">
        <f t="shared" ref="C152:F152" si="111">(5+36+36)*(1+C135+15%)</f>
        <v>88.55</v>
      </c>
      <c r="D152" s="4">
        <f t="shared" si="111"/>
        <v>92.4</v>
      </c>
      <c r="E152" s="4">
        <f t="shared" si="111"/>
        <v>103.488</v>
      </c>
      <c r="F152" s="4">
        <f t="shared" si="111"/>
        <v>107.338</v>
      </c>
    </row>
    <row r="153">
      <c r="A153" s="10" t="s">
        <v>11</v>
      </c>
      <c r="B153" s="14" t="s">
        <v>17</v>
      </c>
      <c r="C153" s="13">
        <f t="shared" ref="C153:F153" si="112">(5+36+7+20+7)*(1+C135+15%)</f>
        <v>86.25</v>
      </c>
      <c r="D153" s="13">
        <f t="shared" si="112"/>
        <v>90</v>
      </c>
      <c r="E153" s="13">
        <f t="shared" si="112"/>
        <v>100.8</v>
      </c>
      <c r="F153" s="13">
        <f t="shared" si="112"/>
        <v>104.55</v>
      </c>
    </row>
    <row r="154">
      <c r="A154" s="15"/>
      <c r="B154" s="14" t="s">
        <v>29</v>
      </c>
      <c r="C154" s="13">
        <f t="shared" ref="C154:F154" si="113">(5+36+7+36+7)*(1+C135+15%)</f>
        <v>104.65</v>
      </c>
      <c r="D154" s="13">
        <f t="shared" si="113"/>
        <v>109.2</v>
      </c>
      <c r="E154" s="13">
        <f t="shared" si="113"/>
        <v>122.304</v>
      </c>
      <c r="F154" s="13">
        <f t="shared" si="113"/>
        <v>126.854</v>
      </c>
    </row>
    <row r="155">
      <c r="A155" s="12"/>
      <c r="B155" s="14" t="s">
        <v>14</v>
      </c>
      <c r="C155" s="13">
        <f t="shared" ref="C155:F155" si="114">(5+36+7+20+7+20+7)*(1+C135+15%)</f>
        <v>117.3</v>
      </c>
      <c r="D155" s="13">
        <f t="shared" si="114"/>
        <v>122.4</v>
      </c>
      <c r="E155" s="13">
        <f t="shared" si="114"/>
        <v>137.088</v>
      </c>
      <c r="F155" s="13">
        <f t="shared" si="114"/>
        <v>142.188</v>
      </c>
    </row>
    <row r="156">
      <c r="A156" s="10" t="s">
        <v>12</v>
      </c>
      <c r="B156" s="14" t="s">
        <v>17</v>
      </c>
      <c r="C156" s="13">
        <f t="shared" ref="C156:F156" si="115">(5+36+8+20+8)*(1+C135+15%)</f>
        <v>88.55</v>
      </c>
      <c r="D156" s="13">
        <f t="shared" si="115"/>
        <v>92.4</v>
      </c>
      <c r="E156" s="13">
        <f t="shared" si="115"/>
        <v>103.488</v>
      </c>
      <c r="F156" s="13">
        <f t="shared" si="115"/>
        <v>107.338</v>
      </c>
    </row>
    <row r="157">
      <c r="A157" s="15"/>
      <c r="B157" s="14" t="s">
        <v>29</v>
      </c>
      <c r="C157" s="13">
        <f t="shared" ref="C157:F157" si="116">(5+36+8+36+8)*(1+C135+15%)</f>
        <v>106.95</v>
      </c>
      <c r="D157" s="13">
        <f t="shared" si="116"/>
        <v>111.6</v>
      </c>
      <c r="E157" s="13">
        <f t="shared" si="116"/>
        <v>124.992</v>
      </c>
      <c r="F157" s="13">
        <f t="shared" si="116"/>
        <v>129.642</v>
      </c>
    </row>
    <row r="158">
      <c r="A158" s="12"/>
      <c r="B158" s="14" t="s">
        <v>14</v>
      </c>
      <c r="C158" s="13">
        <f t="shared" ref="C158:F158" si="117">(5+36+8+20+8+20+8)*(1+C135+15%)</f>
        <v>120.75</v>
      </c>
      <c r="D158" s="13">
        <f t="shared" si="117"/>
        <v>126</v>
      </c>
      <c r="E158" s="13">
        <f t="shared" si="117"/>
        <v>141.12</v>
      </c>
      <c r="F158" s="13">
        <f t="shared" si="117"/>
        <v>146.37</v>
      </c>
    </row>
    <row r="160">
      <c r="A160" s="1" t="s">
        <v>60</v>
      </c>
      <c r="B160" s="2"/>
      <c r="C160" s="2"/>
      <c r="D160" s="2"/>
      <c r="E160" s="2"/>
      <c r="F160" s="3"/>
    </row>
    <row r="161">
      <c r="A161" s="4" t="s">
        <v>1</v>
      </c>
      <c r="B161" s="5">
        <v>140.0</v>
      </c>
      <c r="C161" s="8"/>
      <c r="D161" s="2"/>
      <c r="E161" s="2"/>
      <c r="F161" s="3"/>
    </row>
    <row r="162">
      <c r="A162" s="8" t="s">
        <v>2</v>
      </c>
      <c r="B162" s="3"/>
      <c r="C162" s="9">
        <v>0.0</v>
      </c>
      <c r="D162" s="9">
        <v>0.05</v>
      </c>
      <c r="E162" s="9">
        <v>0.194</v>
      </c>
      <c r="F162" s="9">
        <v>0.244</v>
      </c>
    </row>
    <row r="163">
      <c r="A163" s="4" t="s">
        <v>3</v>
      </c>
      <c r="B163" s="4" t="s">
        <v>4</v>
      </c>
      <c r="C163" s="4" t="s">
        <v>5</v>
      </c>
      <c r="D163" s="4" t="s">
        <v>6</v>
      </c>
      <c r="E163" s="4" t="s">
        <v>7</v>
      </c>
      <c r="F163" s="4" t="s">
        <v>8</v>
      </c>
    </row>
    <row r="164">
      <c r="A164" s="10" t="s">
        <v>5</v>
      </c>
      <c r="B164" s="14" t="s">
        <v>9</v>
      </c>
      <c r="C164" s="11">
        <f t="shared" ref="C164:F164" si="118">(5+30+20+30+8)*(1+C162)</f>
        <v>93</v>
      </c>
      <c r="D164" s="11">
        <f t="shared" si="118"/>
        <v>97.65</v>
      </c>
      <c r="E164" s="11">
        <f t="shared" si="118"/>
        <v>111.042</v>
      </c>
      <c r="F164" s="11">
        <f t="shared" si="118"/>
        <v>115.692</v>
      </c>
    </row>
    <row r="165">
      <c r="A165" s="15"/>
      <c r="B165" s="14" t="s">
        <v>10</v>
      </c>
      <c r="C165" s="4">
        <f t="shared" ref="C165:F165" si="119">(5+20+30+20+4)*(1+C162)</f>
        <v>79</v>
      </c>
      <c r="D165" s="4">
        <f t="shared" si="119"/>
        <v>82.95</v>
      </c>
      <c r="E165" s="4">
        <f t="shared" si="119"/>
        <v>94.326</v>
      </c>
      <c r="F165" s="4">
        <f t="shared" si="119"/>
        <v>98.276</v>
      </c>
    </row>
    <row r="166">
      <c r="A166" s="12"/>
      <c r="B166" s="4" t="s">
        <v>25</v>
      </c>
      <c r="C166" s="11">
        <f t="shared" ref="C166:F166" si="120">(5+30+30+30+12)*(1+C162)</f>
        <v>107</v>
      </c>
      <c r="D166" s="11">
        <f t="shared" si="120"/>
        <v>112.35</v>
      </c>
      <c r="E166" s="11">
        <f t="shared" si="120"/>
        <v>127.758</v>
      </c>
      <c r="F166" s="11">
        <f t="shared" si="120"/>
        <v>133.108</v>
      </c>
    </row>
    <row r="167">
      <c r="A167" s="10" t="s">
        <v>11</v>
      </c>
      <c r="B167" s="14" t="s">
        <v>9</v>
      </c>
      <c r="C167" s="13">
        <f t="shared" ref="C167:F167" si="121">(5+30+20+7+30+4)*(1+C162)</f>
        <v>96</v>
      </c>
      <c r="D167" s="13">
        <f t="shared" si="121"/>
        <v>100.8</v>
      </c>
      <c r="E167" s="13">
        <f t="shared" si="121"/>
        <v>114.624</v>
      </c>
      <c r="F167" s="13">
        <f t="shared" si="121"/>
        <v>119.424</v>
      </c>
    </row>
    <row r="168">
      <c r="A168" s="15"/>
      <c r="B168" s="14" t="s">
        <v>10</v>
      </c>
      <c r="C168" s="13">
        <f t="shared" ref="C168:F168" si="122">(5+20+7+30+20+7+4)*(1+C162)</f>
        <v>93</v>
      </c>
      <c r="D168" s="13">
        <f t="shared" si="122"/>
        <v>97.65</v>
      </c>
      <c r="E168" s="13">
        <f t="shared" si="122"/>
        <v>111.042</v>
      </c>
      <c r="F168" s="13">
        <f t="shared" si="122"/>
        <v>115.692</v>
      </c>
    </row>
    <row r="169">
      <c r="A169" s="12"/>
      <c r="B169" s="4" t="s">
        <v>25</v>
      </c>
      <c r="C169" s="11">
        <f t="shared" ref="C169:F169" si="123">(5+30+7+30+7+30+7+12)*(1+C162)</f>
        <v>128</v>
      </c>
      <c r="D169" s="11">
        <f t="shared" si="123"/>
        <v>134.4</v>
      </c>
      <c r="E169" s="11">
        <f t="shared" si="123"/>
        <v>152.832</v>
      </c>
      <c r="F169" s="11">
        <f t="shared" si="123"/>
        <v>159.232</v>
      </c>
    </row>
    <row r="170">
      <c r="A170" s="10" t="s">
        <v>12</v>
      </c>
      <c r="B170" s="14" t="s">
        <v>9</v>
      </c>
      <c r="C170" s="13">
        <f t="shared" ref="C170:F170" si="124">(5+30+20+8+30+4)*(1+C162)</f>
        <v>97</v>
      </c>
      <c r="D170" s="13">
        <f t="shared" si="124"/>
        <v>101.85</v>
      </c>
      <c r="E170" s="13">
        <f t="shared" si="124"/>
        <v>115.818</v>
      </c>
      <c r="F170" s="13">
        <f t="shared" si="124"/>
        <v>120.668</v>
      </c>
    </row>
    <row r="171">
      <c r="A171" s="15"/>
      <c r="B171" s="14" t="s">
        <v>10</v>
      </c>
      <c r="C171" s="13">
        <f t="shared" ref="C171:F171" si="125">(5+20+8+30+20+8+4)*(1+C162)</f>
        <v>95</v>
      </c>
      <c r="D171" s="13">
        <f t="shared" si="125"/>
        <v>99.75</v>
      </c>
      <c r="E171" s="13">
        <f t="shared" si="125"/>
        <v>113.43</v>
      </c>
      <c r="F171" s="13">
        <f t="shared" si="125"/>
        <v>118.18</v>
      </c>
    </row>
    <row r="172">
      <c r="A172" s="12"/>
      <c r="B172" s="4" t="s">
        <v>25</v>
      </c>
      <c r="C172" s="11">
        <f t="shared" ref="C172:F172" si="126">(5+30+8+30+8+30+8+12)*(1+C162)</f>
        <v>131</v>
      </c>
      <c r="D172" s="11">
        <f t="shared" si="126"/>
        <v>137.55</v>
      </c>
      <c r="E172" s="11">
        <f t="shared" si="126"/>
        <v>156.414</v>
      </c>
      <c r="F172" s="11">
        <f t="shared" si="126"/>
        <v>162.964</v>
      </c>
    </row>
    <row r="173">
      <c r="A173" s="10" t="s">
        <v>61</v>
      </c>
      <c r="B173" s="14" t="s">
        <v>9</v>
      </c>
      <c r="C173" s="11">
        <f t="shared" ref="C173:F173" si="127">(5+30+20+30+8)*(1+C162+10%)</f>
        <v>102.3</v>
      </c>
      <c r="D173" s="11">
        <f t="shared" si="127"/>
        <v>106.95</v>
      </c>
      <c r="E173" s="11">
        <f t="shared" si="127"/>
        <v>120.342</v>
      </c>
      <c r="F173" s="11">
        <f t="shared" si="127"/>
        <v>124.992</v>
      </c>
    </row>
    <row r="174">
      <c r="A174" s="15"/>
      <c r="B174" s="14" t="s">
        <v>10</v>
      </c>
      <c r="C174" s="11">
        <f t="shared" ref="C174:F174" si="128">(5+20+30+20+4)*(1+C162+10%)</f>
        <v>86.9</v>
      </c>
      <c r="D174" s="11">
        <f t="shared" si="128"/>
        <v>90.85</v>
      </c>
      <c r="E174" s="11">
        <f t="shared" si="128"/>
        <v>102.226</v>
      </c>
      <c r="F174" s="11">
        <f t="shared" si="128"/>
        <v>106.176</v>
      </c>
    </row>
    <row r="175">
      <c r="A175" s="12"/>
      <c r="B175" s="4" t="s">
        <v>25</v>
      </c>
      <c r="C175" s="49">
        <f t="shared" ref="C175:F175" si="129">(5+30+30+30+12)*(1+C162+10%)</f>
        <v>117.7</v>
      </c>
      <c r="D175" s="49">
        <f t="shared" si="129"/>
        <v>123.05</v>
      </c>
      <c r="E175" s="49">
        <f t="shared" si="129"/>
        <v>138.458</v>
      </c>
      <c r="F175" s="49">
        <f t="shared" si="129"/>
        <v>143.808</v>
      </c>
    </row>
    <row r="177">
      <c r="A177" s="1" t="s">
        <v>62</v>
      </c>
      <c r="B177" s="2"/>
      <c r="C177" s="2"/>
      <c r="D177" s="2"/>
      <c r="E177" s="2"/>
      <c r="F177" s="3"/>
    </row>
    <row r="178">
      <c r="A178" s="4" t="s">
        <v>1</v>
      </c>
      <c r="B178" s="5">
        <v>100.0</v>
      </c>
      <c r="C178" s="6"/>
      <c r="D178" s="2"/>
      <c r="E178" s="2"/>
      <c r="F178" s="3"/>
    </row>
    <row r="179">
      <c r="A179" s="8" t="s">
        <v>2</v>
      </c>
      <c r="B179" s="3"/>
      <c r="C179" s="9">
        <v>0.0</v>
      </c>
      <c r="D179" s="9">
        <v>0.05</v>
      </c>
      <c r="E179" s="9">
        <v>0.194</v>
      </c>
      <c r="F179" s="9">
        <v>0.244</v>
      </c>
    </row>
    <row r="180">
      <c r="A180" s="4" t="s">
        <v>3</v>
      </c>
      <c r="B180" s="4" t="s">
        <v>4</v>
      </c>
      <c r="C180" s="4" t="s">
        <v>5</v>
      </c>
      <c r="D180" s="4" t="s">
        <v>6</v>
      </c>
      <c r="E180" s="4" t="s">
        <v>7</v>
      </c>
      <c r="F180" s="4" t="s">
        <v>8</v>
      </c>
    </row>
    <row r="181">
      <c r="A181" s="10" t="s">
        <v>5</v>
      </c>
      <c r="B181" s="14" t="s">
        <v>32</v>
      </c>
      <c r="C181" s="11">
        <f t="shared" ref="C181:F181" si="130">(5+20+20+30)*(1+C179)</f>
        <v>75</v>
      </c>
      <c r="D181" s="11">
        <f t="shared" si="130"/>
        <v>78.75</v>
      </c>
      <c r="E181" s="11">
        <f t="shared" si="130"/>
        <v>89.55</v>
      </c>
      <c r="F181" s="11">
        <f t="shared" si="130"/>
        <v>93.3</v>
      </c>
    </row>
    <row r="182">
      <c r="A182" s="15"/>
      <c r="B182" s="14" t="s">
        <v>63</v>
      </c>
      <c r="C182" s="4">
        <f t="shared" ref="C182:F182" si="131">(20+20+20+30)*(1+C179)</f>
        <v>90</v>
      </c>
      <c r="D182" s="4">
        <f t="shared" si="131"/>
        <v>94.5</v>
      </c>
      <c r="E182" s="4">
        <f t="shared" si="131"/>
        <v>107.46</v>
      </c>
      <c r="F182" s="4">
        <f t="shared" si="131"/>
        <v>111.96</v>
      </c>
    </row>
    <row r="183">
      <c r="A183" s="12"/>
      <c r="B183" s="14" t="s">
        <v>29</v>
      </c>
      <c r="C183" s="11">
        <f t="shared" ref="C183:F183" si="132">(5+20+30+30)*(1+C179)</f>
        <v>85</v>
      </c>
      <c r="D183" s="11">
        <f t="shared" si="132"/>
        <v>89.25</v>
      </c>
      <c r="E183" s="11">
        <f t="shared" si="132"/>
        <v>101.49</v>
      </c>
      <c r="F183" s="11">
        <f t="shared" si="132"/>
        <v>105.74</v>
      </c>
    </row>
    <row r="184">
      <c r="A184" s="10" t="s">
        <v>34</v>
      </c>
      <c r="B184" s="14" t="s">
        <v>32</v>
      </c>
      <c r="C184" s="11">
        <f t="shared" ref="C184:F184" si="133">(5+20+20+30)*(1+C179+10%)</f>
        <v>82.5</v>
      </c>
      <c r="D184" s="11">
        <f t="shared" si="133"/>
        <v>86.25</v>
      </c>
      <c r="E184" s="11">
        <f t="shared" si="133"/>
        <v>97.05</v>
      </c>
      <c r="F184" s="11">
        <f t="shared" si="133"/>
        <v>100.8</v>
      </c>
    </row>
    <row r="185">
      <c r="A185" s="15"/>
      <c r="B185" s="14" t="s">
        <v>63</v>
      </c>
      <c r="C185" s="4">
        <f t="shared" ref="C185:F185" si="134">(20+20+20+30)*(1+C179+10%)</f>
        <v>99</v>
      </c>
      <c r="D185" s="4">
        <f t="shared" si="134"/>
        <v>103.5</v>
      </c>
      <c r="E185" s="4">
        <f t="shared" si="134"/>
        <v>116.46</v>
      </c>
      <c r="F185" s="4">
        <f t="shared" si="134"/>
        <v>120.96</v>
      </c>
    </row>
    <row r="186">
      <c r="A186" s="12"/>
      <c r="B186" s="14" t="s">
        <v>29</v>
      </c>
      <c r="C186" s="11">
        <f t="shared" ref="C186:F186" si="135">(5+20+30+30)*(1+C179+10%)</f>
        <v>93.5</v>
      </c>
      <c r="D186" s="11">
        <f t="shared" si="135"/>
        <v>97.75</v>
      </c>
      <c r="E186" s="11">
        <f t="shared" si="135"/>
        <v>109.99</v>
      </c>
      <c r="F186" s="11">
        <f t="shared" si="135"/>
        <v>114.24</v>
      </c>
    </row>
    <row r="188">
      <c r="A188" s="50" t="s">
        <v>64</v>
      </c>
      <c r="B188" s="2"/>
      <c r="C188" s="2"/>
      <c r="D188" s="2"/>
      <c r="E188" s="2"/>
      <c r="F188" s="3"/>
    </row>
    <row r="189">
      <c r="A189" s="4" t="s">
        <v>1</v>
      </c>
      <c r="B189" s="5">
        <v>100.0</v>
      </c>
      <c r="C189" s="8" t="s">
        <v>65</v>
      </c>
      <c r="D189" s="2"/>
      <c r="E189" s="2"/>
      <c r="F189" s="3"/>
    </row>
    <row r="190">
      <c r="A190" s="8" t="s">
        <v>2</v>
      </c>
      <c r="B190" s="3"/>
      <c r="C190" s="9">
        <v>0.0</v>
      </c>
      <c r="D190" s="9">
        <v>0.05</v>
      </c>
      <c r="E190" s="9">
        <v>0.194</v>
      </c>
      <c r="F190" s="9">
        <v>0.244</v>
      </c>
    </row>
    <row r="191">
      <c r="A191" s="14" t="s">
        <v>3</v>
      </c>
      <c r="B191" s="14" t="s">
        <v>4</v>
      </c>
      <c r="C191" s="14" t="s">
        <v>5</v>
      </c>
      <c r="D191" s="14" t="s">
        <v>6</v>
      </c>
      <c r="E191" s="14" t="s">
        <v>7</v>
      </c>
      <c r="F191" s="14" t="s">
        <v>8</v>
      </c>
    </row>
    <row r="192">
      <c r="A192" s="47" t="s">
        <v>5</v>
      </c>
      <c r="B192" s="14" t="s">
        <v>43</v>
      </c>
      <c r="C192" s="46">
        <f t="shared" ref="C192:F192" si="136">(5+20+20)*(1+C190)</f>
        <v>45</v>
      </c>
      <c r="D192" s="46">
        <f t="shared" si="136"/>
        <v>47.25</v>
      </c>
      <c r="E192" s="46">
        <f t="shared" si="136"/>
        <v>53.73</v>
      </c>
      <c r="F192" s="46">
        <f t="shared" si="136"/>
        <v>55.98</v>
      </c>
    </row>
    <row r="193">
      <c r="A193" s="15"/>
      <c r="B193" s="14" t="s">
        <v>66</v>
      </c>
      <c r="C193" s="14">
        <f>(5+30+20)*(1+C190)</f>
        <v>55</v>
      </c>
      <c r="D193" s="14">
        <f t="shared" ref="D193:F193" si="137">(5+20+20+20)*(1+D189)</f>
        <v>65</v>
      </c>
      <c r="E193" s="14">
        <f t="shared" si="137"/>
        <v>65</v>
      </c>
      <c r="F193" s="14">
        <f t="shared" si="137"/>
        <v>65</v>
      </c>
    </row>
    <row r="194">
      <c r="A194" s="15"/>
      <c r="B194" s="14" t="s">
        <v>67</v>
      </c>
      <c r="C194" s="14">
        <f>(5+30+20+20)*(1+C190)</f>
        <v>75</v>
      </c>
      <c r="D194" s="14">
        <f t="shared" ref="D194:F194" si="138">(5+20+20+20)*(1+D190)</f>
        <v>68.25</v>
      </c>
      <c r="E194" s="14">
        <f t="shared" si="138"/>
        <v>77.61</v>
      </c>
      <c r="F194" s="14">
        <f t="shared" si="138"/>
        <v>80.86</v>
      </c>
    </row>
    <row r="195">
      <c r="A195" s="12"/>
      <c r="B195" s="14" t="s">
        <v>44</v>
      </c>
      <c r="C195" s="46">
        <f>(5+20+20+20)*(1+C190)</f>
        <v>65</v>
      </c>
      <c r="D195" s="46">
        <f t="shared" ref="D195:F195" si="139">(5+30+20+20)*(1+D190)</f>
        <v>78.75</v>
      </c>
      <c r="E195" s="46">
        <f t="shared" si="139"/>
        <v>89.55</v>
      </c>
      <c r="F195" s="46">
        <f t="shared" si="139"/>
        <v>93.3</v>
      </c>
    </row>
    <row r="196">
      <c r="A196" s="47" t="s">
        <v>46</v>
      </c>
      <c r="B196" s="14" t="s">
        <v>43</v>
      </c>
      <c r="C196" s="24">
        <f t="shared" ref="C196:F196" si="140">(5+20+20)*(1+C190+12%)</f>
        <v>50.4</v>
      </c>
      <c r="D196" s="24">
        <f t="shared" si="140"/>
        <v>52.65</v>
      </c>
      <c r="E196" s="24">
        <f t="shared" si="140"/>
        <v>59.13</v>
      </c>
      <c r="F196" s="24">
        <f t="shared" si="140"/>
        <v>61.38</v>
      </c>
    </row>
    <row r="197">
      <c r="A197" s="15"/>
      <c r="B197" s="14" t="s">
        <v>66</v>
      </c>
      <c r="C197" s="24">
        <f t="shared" ref="C197:F197" si="141">(5+30+20)*(1+C190+12%)</f>
        <v>61.6</v>
      </c>
      <c r="D197" s="24">
        <f t="shared" si="141"/>
        <v>64.35</v>
      </c>
      <c r="E197" s="24">
        <f t="shared" si="141"/>
        <v>72.27</v>
      </c>
      <c r="F197" s="24">
        <f t="shared" si="141"/>
        <v>75.02</v>
      </c>
    </row>
    <row r="198">
      <c r="A198" s="15"/>
      <c r="B198" s="14" t="s">
        <v>67</v>
      </c>
      <c r="C198" s="24">
        <f>(5+30+20+20)*(1+C190+12%)</f>
        <v>84</v>
      </c>
      <c r="D198" s="24">
        <f t="shared" ref="D198:F198" si="142">(5+20+20+20)*(1+D190+12%)</f>
        <v>76.05</v>
      </c>
      <c r="E198" s="24">
        <f t="shared" si="142"/>
        <v>85.41</v>
      </c>
      <c r="F198" s="24">
        <f t="shared" si="142"/>
        <v>88.66</v>
      </c>
    </row>
    <row r="199">
      <c r="A199" s="12"/>
      <c r="B199" s="14" t="s">
        <v>44</v>
      </c>
      <c r="C199" s="46">
        <f>(5+20+20+20)*(1+C190+12%)</f>
        <v>72.8</v>
      </c>
      <c r="D199" s="46">
        <f t="shared" ref="D199:F199" si="143">(5+30+20+20)*(1+D190+12%)</f>
        <v>87.75</v>
      </c>
      <c r="E199" s="46">
        <f t="shared" si="143"/>
        <v>98.55</v>
      </c>
      <c r="F199" s="46">
        <f t="shared" si="143"/>
        <v>102.3</v>
      </c>
    </row>
    <row r="200">
      <c r="A200" s="47" t="s">
        <v>68</v>
      </c>
      <c r="B200" s="14" t="s">
        <v>43</v>
      </c>
      <c r="C200" s="24">
        <f t="shared" ref="C200:F200" si="144">(5+9+20+3+20+3)*(1+C190)</f>
        <v>60</v>
      </c>
      <c r="D200" s="24">
        <f t="shared" si="144"/>
        <v>63</v>
      </c>
      <c r="E200" s="24">
        <f t="shared" si="144"/>
        <v>71.64</v>
      </c>
      <c r="F200" s="24">
        <f t="shared" si="144"/>
        <v>74.64</v>
      </c>
    </row>
    <row r="201">
      <c r="A201" s="15"/>
      <c r="B201" s="14" t="s">
        <v>66</v>
      </c>
      <c r="C201" s="24">
        <f t="shared" ref="C201:F201" si="145">(5+9+30+20+3)*(1+C190)</f>
        <v>67</v>
      </c>
      <c r="D201" s="24">
        <f t="shared" si="145"/>
        <v>70.35</v>
      </c>
      <c r="E201" s="24">
        <f t="shared" si="145"/>
        <v>79.998</v>
      </c>
      <c r="F201" s="24">
        <f t="shared" si="145"/>
        <v>83.348</v>
      </c>
    </row>
    <row r="202">
      <c r="A202" s="15"/>
      <c r="B202" s="14" t="s">
        <v>67</v>
      </c>
      <c r="C202" s="24">
        <f t="shared" ref="C202:F202" si="146">(5+3+30+3+20+3+20+3)*(1+C190)</f>
        <v>87</v>
      </c>
      <c r="D202" s="24">
        <f t="shared" si="146"/>
        <v>91.35</v>
      </c>
      <c r="E202" s="24">
        <f t="shared" si="146"/>
        <v>103.878</v>
      </c>
      <c r="F202" s="24">
        <f t="shared" si="146"/>
        <v>108.228</v>
      </c>
    </row>
    <row r="203">
      <c r="A203" s="12"/>
      <c r="B203" s="14" t="s">
        <v>44</v>
      </c>
      <c r="C203" s="46">
        <f t="shared" ref="C203:F203" si="147">(5+9+20+20+3+20+3)*(1+C190)</f>
        <v>80</v>
      </c>
      <c r="D203" s="46">
        <f t="shared" si="147"/>
        <v>84</v>
      </c>
      <c r="E203" s="46">
        <f t="shared" si="147"/>
        <v>95.52</v>
      </c>
      <c r="F203" s="46">
        <f t="shared" si="147"/>
        <v>99.52</v>
      </c>
    </row>
    <row r="204">
      <c r="A204" s="47" t="s">
        <v>41</v>
      </c>
      <c r="B204" s="14" t="s">
        <v>43</v>
      </c>
      <c r="C204" s="24">
        <f t="shared" ref="C204:F204" si="148">(5+20+20)*(1+C190+16%)</f>
        <v>52.2</v>
      </c>
      <c r="D204" s="24">
        <f t="shared" si="148"/>
        <v>54.45</v>
      </c>
      <c r="E204" s="24">
        <f t="shared" si="148"/>
        <v>60.93</v>
      </c>
      <c r="F204" s="24">
        <f t="shared" si="148"/>
        <v>63.18</v>
      </c>
    </row>
    <row r="205">
      <c r="A205" s="15"/>
      <c r="B205" s="14" t="s">
        <v>66</v>
      </c>
      <c r="C205" s="24">
        <f t="shared" ref="C205:F205" si="149">(5+30+20)*(1+C190+16%)</f>
        <v>63.8</v>
      </c>
      <c r="D205" s="24">
        <f t="shared" si="149"/>
        <v>66.55</v>
      </c>
      <c r="E205" s="24">
        <f t="shared" si="149"/>
        <v>74.47</v>
      </c>
      <c r="F205" s="24">
        <f t="shared" si="149"/>
        <v>77.22</v>
      </c>
    </row>
    <row r="206">
      <c r="A206" s="15"/>
      <c r="B206" s="14" t="s">
        <v>67</v>
      </c>
      <c r="C206" s="24">
        <f t="shared" ref="C206:F206" si="150">(5+20+20+20)*(1+C190+16%)</f>
        <v>75.4</v>
      </c>
      <c r="D206" s="24">
        <f t="shared" si="150"/>
        <v>78.65</v>
      </c>
      <c r="E206" s="24">
        <f t="shared" si="150"/>
        <v>88.01</v>
      </c>
      <c r="F206" s="24">
        <f t="shared" si="150"/>
        <v>91.26</v>
      </c>
    </row>
    <row r="207">
      <c r="A207" s="12"/>
      <c r="B207" s="14" t="s">
        <v>44</v>
      </c>
      <c r="C207" s="46">
        <f t="shared" ref="C207:F207" si="151">(5+30+20+20)*(1+C190+16%)</f>
        <v>87</v>
      </c>
      <c r="D207" s="46">
        <f t="shared" si="151"/>
        <v>90.75</v>
      </c>
      <c r="E207" s="46">
        <f t="shared" si="151"/>
        <v>101.55</v>
      </c>
      <c r="F207" s="46">
        <f t="shared" si="151"/>
        <v>105.3</v>
      </c>
    </row>
    <row r="209">
      <c r="A209" s="1" t="s">
        <v>69</v>
      </c>
      <c r="B209" s="2"/>
      <c r="C209" s="2"/>
      <c r="D209" s="2"/>
      <c r="E209" s="2"/>
      <c r="F209" s="3"/>
    </row>
    <row r="210">
      <c r="A210" s="4" t="s">
        <v>1</v>
      </c>
      <c r="B210" s="5">
        <v>120.0</v>
      </c>
      <c r="C210" s="6"/>
      <c r="D210" s="2"/>
      <c r="E210" s="2"/>
      <c r="F210" s="3"/>
    </row>
    <row r="211">
      <c r="A211" s="8" t="s">
        <v>2</v>
      </c>
      <c r="B211" s="3"/>
      <c r="C211" s="9">
        <v>0.0</v>
      </c>
      <c r="D211" s="9">
        <v>0.05</v>
      </c>
      <c r="E211" s="9">
        <v>0.194</v>
      </c>
      <c r="F211" s="9">
        <v>0.244</v>
      </c>
    </row>
    <row r="212">
      <c r="A212" s="4" t="s">
        <v>3</v>
      </c>
      <c r="B212" s="4" t="s">
        <v>4</v>
      </c>
      <c r="C212" s="4" t="s">
        <v>5</v>
      </c>
      <c r="D212" s="4" t="s">
        <v>6</v>
      </c>
      <c r="E212" s="4" t="s">
        <v>7</v>
      </c>
      <c r="F212" s="4" t="s">
        <v>8</v>
      </c>
    </row>
    <row r="213">
      <c r="A213" s="10" t="s">
        <v>5</v>
      </c>
      <c r="B213" s="14" t="s">
        <v>17</v>
      </c>
      <c r="C213" s="13">
        <f t="shared" ref="C213:F213" si="152">(15+30+20)*(1+C211)</f>
        <v>65</v>
      </c>
      <c r="D213" s="13">
        <f t="shared" si="152"/>
        <v>68.25</v>
      </c>
      <c r="E213" s="13">
        <f t="shared" si="152"/>
        <v>77.61</v>
      </c>
      <c r="F213" s="13">
        <f t="shared" si="152"/>
        <v>80.86</v>
      </c>
    </row>
    <row r="214">
      <c r="A214" s="15"/>
      <c r="B214" s="14" t="s">
        <v>29</v>
      </c>
      <c r="C214" s="13">
        <f t="shared" ref="C214:F214" si="153">(15+30+30)*(1+C211)</f>
        <v>75</v>
      </c>
      <c r="D214" s="13">
        <f t="shared" si="153"/>
        <v>78.75</v>
      </c>
      <c r="E214" s="13">
        <f t="shared" si="153"/>
        <v>89.55</v>
      </c>
      <c r="F214" s="13">
        <f t="shared" si="153"/>
        <v>93.3</v>
      </c>
    </row>
    <row r="215">
      <c r="A215" s="15"/>
      <c r="B215" s="14" t="s">
        <v>70</v>
      </c>
      <c r="C215" s="11">
        <f t="shared" ref="C215:F215" si="154">(15+30+30+20)*(1+C211)</f>
        <v>95</v>
      </c>
      <c r="D215" s="11">
        <f t="shared" si="154"/>
        <v>99.75</v>
      </c>
      <c r="E215" s="11">
        <f t="shared" si="154"/>
        <v>113.43</v>
      </c>
      <c r="F215" s="11">
        <f t="shared" si="154"/>
        <v>118.18</v>
      </c>
    </row>
    <row r="216">
      <c r="A216" s="12"/>
      <c r="B216" s="14" t="s">
        <v>25</v>
      </c>
      <c r="C216" s="4">
        <f t="shared" ref="C216:F216" si="155">(15+30+30+30)*(1+C211)</f>
        <v>105</v>
      </c>
      <c r="D216" s="4">
        <f t="shared" si="155"/>
        <v>110.25</v>
      </c>
      <c r="E216" s="4">
        <f t="shared" si="155"/>
        <v>125.37</v>
      </c>
      <c r="F216" s="4">
        <f t="shared" si="155"/>
        <v>130.62</v>
      </c>
    </row>
    <row r="217">
      <c r="A217" s="10" t="s">
        <v>71</v>
      </c>
      <c r="B217" s="14" t="s">
        <v>17</v>
      </c>
      <c r="C217" s="13">
        <f t="shared" ref="C217:F217" si="156">(15+30+20)*(1+C211)</f>
        <v>65</v>
      </c>
      <c r="D217" s="13">
        <f t="shared" si="156"/>
        <v>68.25</v>
      </c>
      <c r="E217" s="13">
        <f t="shared" si="156"/>
        <v>77.61</v>
      </c>
      <c r="F217" s="13">
        <f t="shared" si="156"/>
        <v>80.86</v>
      </c>
    </row>
    <row r="218">
      <c r="A218" s="15"/>
      <c r="B218" s="14" t="s">
        <v>29</v>
      </c>
      <c r="C218" s="13">
        <f t="shared" ref="C218:F218" si="157">(15+30+30)*(1+C211)</f>
        <v>75</v>
      </c>
      <c r="D218" s="13">
        <f t="shared" si="157"/>
        <v>78.75</v>
      </c>
      <c r="E218" s="13">
        <f t="shared" si="157"/>
        <v>89.55</v>
      </c>
      <c r="F218" s="13">
        <f t="shared" si="157"/>
        <v>93.3</v>
      </c>
    </row>
    <row r="219">
      <c r="A219" s="15"/>
      <c r="B219" s="14" t="s">
        <v>70</v>
      </c>
      <c r="C219" s="13">
        <f t="shared" ref="C219:F219" si="158">(15+30+30+20)*(1+C211)</f>
        <v>95</v>
      </c>
      <c r="D219" s="13">
        <f t="shared" si="158"/>
        <v>99.75</v>
      </c>
      <c r="E219" s="13">
        <f t="shared" si="158"/>
        <v>113.43</v>
      </c>
      <c r="F219" s="13">
        <f t="shared" si="158"/>
        <v>118.18</v>
      </c>
    </row>
    <row r="220">
      <c r="A220" s="12"/>
      <c r="B220" s="14" t="s">
        <v>25</v>
      </c>
      <c r="C220" s="13">
        <f t="shared" ref="C220:F220" si="159">(15+30+30+30)*(1+C211)</f>
        <v>105</v>
      </c>
      <c r="D220" s="13">
        <f t="shared" si="159"/>
        <v>110.25</v>
      </c>
      <c r="E220" s="13">
        <f t="shared" si="159"/>
        <v>125.37</v>
      </c>
      <c r="F220" s="13">
        <f t="shared" si="159"/>
        <v>130.62</v>
      </c>
    </row>
    <row r="221">
      <c r="A221" s="4" t="s">
        <v>3</v>
      </c>
      <c r="B221" s="14" t="s">
        <v>49</v>
      </c>
      <c r="C221" s="40" t="s">
        <v>72</v>
      </c>
      <c r="D221" s="2"/>
      <c r="E221" s="2"/>
      <c r="F221" s="3"/>
    </row>
    <row r="222">
      <c r="A222" s="10" t="s">
        <v>5</v>
      </c>
      <c r="B222" s="14" t="s">
        <v>17</v>
      </c>
      <c r="C222" s="13">
        <f t="shared" ref="C222:F222" si="160">(15+30+30+20)*(1+C211)</f>
        <v>95</v>
      </c>
      <c r="D222" s="13">
        <f t="shared" si="160"/>
        <v>99.75</v>
      </c>
      <c r="E222" s="13">
        <f t="shared" si="160"/>
        <v>113.43</v>
      </c>
      <c r="F222" s="13">
        <f t="shared" si="160"/>
        <v>118.18</v>
      </c>
    </row>
    <row r="223">
      <c r="A223" s="15"/>
      <c r="B223" s="14" t="s">
        <v>29</v>
      </c>
      <c r="C223" s="13">
        <f t="shared" ref="C223:F223" si="161">(15+30+30+20)*(1+C211)</f>
        <v>95</v>
      </c>
      <c r="D223" s="13">
        <f t="shared" si="161"/>
        <v>99.75</v>
      </c>
      <c r="E223" s="13">
        <f t="shared" si="161"/>
        <v>113.43</v>
      </c>
      <c r="F223" s="13">
        <f t="shared" si="161"/>
        <v>118.18</v>
      </c>
    </row>
    <row r="224">
      <c r="A224" s="15"/>
      <c r="B224" s="14" t="s">
        <v>70</v>
      </c>
      <c r="C224" s="11">
        <f t="shared" ref="C224:F224" si="162">(15+30+30+20)*(1+C211)</f>
        <v>95</v>
      </c>
      <c r="D224" s="11">
        <f t="shared" si="162"/>
        <v>99.75</v>
      </c>
      <c r="E224" s="11">
        <f t="shared" si="162"/>
        <v>113.43</v>
      </c>
      <c r="F224" s="11">
        <f t="shared" si="162"/>
        <v>118.18</v>
      </c>
    </row>
    <row r="225">
      <c r="A225" s="12"/>
      <c r="B225" s="14" t="s">
        <v>25</v>
      </c>
      <c r="C225" s="4">
        <f t="shared" ref="C225:F225" si="163">(15+30+30+30)*(1+C211)</f>
        <v>105</v>
      </c>
      <c r="D225" s="4">
        <f t="shared" si="163"/>
        <v>110.25</v>
      </c>
      <c r="E225" s="4">
        <f t="shared" si="163"/>
        <v>125.37</v>
      </c>
      <c r="F225" s="4">
        <f t="shared" si="163"/>
        <v>130.62</v>
      </c>
    </row>
    <row r="226">
      <c r="A226" s="10" t="s">
        <v>71</v>
      </c>
      <c r="B226" s="14" t="s">
        <v>17</v>
      </c>
      <c r="C226" s="13">
        <f t="shared" ref="C226:F226" si="164">(15+30+9+20+3)*(1+C211)</f>
        <v>77</v>
      </c>
      <c r="D226" s="13">
        <f t="shared" si="164"/>
        <v>80.85</v>
      </c>
      <c r="E226" s="13">
        <f t="shared" si="164"/>
        <v>91.938</v>
      </c>
      <c r="F226" s="13">
        <f t="shared" si="164"/>
        <v>95.788</v>
      </c>
    </row>
    <row r="227">
      <c r="A227" s="15"/>
      <c r="B227" s="14" t="s">
        <v>29</v>
      </c>
      <c r="C227" s="13">
        <f t="shared" ref="C227:F227" si="165">(15+30+9+30+9)*(1+C211)</f>
        <v>93</v>
      </c>
      <c r="D227" s="13">
        <f t="shared" si="165"/>
        <v>97.65</v>
      </c>
      <c r="E227" s="13">
        <f t="shared" si="165"/>
        <v>111.042</v>
      </c>
      <c r="F227" s="13">
        <f t="shared" si="165"/>
        <v>115.692</v>
      </c>
    </row>
    <row r="228">
      <c r="A228" s="15"/>
      <c r="B228" s="14" t="s">
        <v>70</v>
      </c>
      <c r="C228" s="13">
        <f t="shared" ref="C228:F228" si="166">(15+30+9+30+9+20+3)*(1+C211)</f>
        <v>116</v>
      </c>
      <c r="D228" s="13">
        <f t="shared" si="166"/>
        <v>121.8</v>
      </c>
      <c r="E228" s="13">
        <f t="shared" si="166"/>
        <v>138.504</v>
      </c>
      <c r="F228" s="13">
        <f t="shared" si="166"/>
        <v>144.304</v>
      </c>
    </row>
    <row r="229">
      <c r="A229" s="12"/>
      <c r="B229" s="14" t="s">
        <v>25</v>
      </c>
      <c r="C229" s="13">
        <f t="shared" ref="C229:F229" si="167">(15+30+9+30+9+30+9)*(1+C211)</f>
        <v>132</v>
      </c>
      <c r="D229" s="13">
        <f t="shared" si="167"/>
        <v>138.6</v>
      </c>
      <c r="E229" s="13">
        <f t="shared" si="167"/>
        <v>157.608</v>
      </c>
      <c r="F229" s="13">
        <f t="shared" si="167"/>
        <v>164.208</v>
      </c>
    </row>
    <row r="231">
      <c r="A231" s="1" t="s">
        <v>73</v>
      </c>
      <c r="B231" s="2"/>
      <c r="C231" s="2"/>
      <c r="D231" s="2"/>
      <c r="E231" s="2"/>
      <c r="F231" s="3"/>
    </row>
    <row r="232">
      <c r="A232" s="4" t="s">
        <v>1</v>
      </c>
      <c r="B232" s="5">
        <v>110.0</v>
      </c>
      <c r="C232" s="8"/>
      <c r="D232" s="2"/>
      <c r="E232" s="2"/>
      <c r="F232" s="3"/>
    </row>
    <row r="233">
      <c r="A233" s="8" t="s">
        <v>2</v>
      </c>
      <c r="B233" s="3"/>
      <c r="C233" s="9">
        <v>0.0</v>
      </c>
      <c r="D233" s="9">
        <v>0.05</v>
      </c>
      <c r="E233" s="9">
        <v>0.194</v>
      </c>
      <c r="F233" s="9">
        <v>0.244</v>
      </c>
    </row>
    <row r="234">
      <c r="A234" s="4" t="s">
        <v>3</v>
      </c>
      <c r="B234" s="4" t="s">
        <v>4</v>
      </c>
      <c r="C234" s="4" t="s">
        <v>5</v>
      </c>
      <c r="D234" s="4" t="s">
        <v>6</v>
      </c>
      <c r="E234" s="4" t="s">
        <v>7</v>
      </c>
      <c r="F234" s="4" t="s">
        <v>8</v>
      </c>
    </row>
    <row r="235">
      <c r="A235" s="10" t="s">
        <v>5</v>
      </c>
      <c r="B235" s="14" t="s">
        <v>29</v>
      </c>
      <c r="C235" s="11">
        <f t="shared" ref="C235:F235" si="168">(5+30+30)*(1+C233)</f>
        <v>65</v>
      </c>
      <c r="D235" s="11">
        <f t="shared" si="168"/>
        <v>68.25</v>
      </c>
      <c r="E235" s="11">
        <f t="shared" si="168"/>
        <v>77.61</v>
      </c>
      <c r="F235" s="11">
        <f t="shared" si="168"/>
        <v>80.86</v>
      </c>
    </row>
    <row r="236">
      <c r="A236" s="12"/>
      <c r="B236" s="14" t="s">
        <v>25</v>
      </c>
      <c r="C236" s="24">
        <f t="shared" ref="C236:F236" si="169">(5+30+30+30)*(1+C233)</f>
        <v>95</v>
      </c>
      <c r="D236" s="24">
        <f t="shared" si="169"/>
        <v>99.75</v>
      </c>
      <c r="E236" s="24">
        <f t="shared" si="169"/>
        <v>113.43</v>
      </c>
      <c r="F236" s="24">
        <f t="shared" si="169"/>
        <v>118.18</v>
      </c>
    </row>
    <row r="237">
      <c r="A237" s="10" t="s">
        <v>27</v>
      </c>
      <c r="B237" s="14" t="s">
        <v>25</v>
      </c>
      <c r="C237" s="11">
        <f t="shared" ref="C237:F237" si="170">(5+30+30+30)*(1+C233+10%)</f>
        <v>104.5</v>
      </c>
      <c r="D237" s="11">
        <f t="shared" si="170"/>
        <v>109.25</v>
      </c>
      <c r="E237" s="11">
        <f t="shared" si="170"/>
        <v>122.93</v>
      </c>
      <c r="F237" s="11">
        <f t="shared" si="170"/>
        <v>127.68</v>
      </c>
    </row>
    <row r="238">
      <c r="A238" s="12"/>
      <c r="B238" s="14" t="s">
        <v>26</v>
      </c>
      <c r="C238" s="24">
        <f t="shared" ref="C238:F238" si="171">(20+30+30+30)*(1+C233+10%)</f>
        <v>121</v>
      </c>
      <c r="D238" s="24">
        <f t="shared" si="171"/>
        <v>126.5</v>
      </c>
      <c r="E238" s="24">
        <f t="shared" si="171"/>
        <v>142.34</v>
      </c>
      <c r="F238" s="24">
        <f t="shared" si="171"/>
        <v>147.84</v>
      </c>
    </row>
    <row r="240">
      <c r="A240" s="1" t="s">
        <v>74</v>
      </c>
      <c r="B240" s="2"/>
      <c r="C240" s="2"/>
      <c r="D240" s="2"/>
      <c r="E240" s="2"/>
      <c r="F240" s="3"/>
    </row>
    <row r="241">
      <c r="A241" s="4" t="s">
        <v>1</v>
      </c>
      <c r="B241" s="5">
        <v>120.0</v>
      </c>
      <c r="C241" s="8" t="s">
        <v>75</v>
      </c>
      <c r="D241" s="2"/>
      <c r="E241" s="2"/>
      <c r="F241" s="3"/>
    </row>
    <row r="242">
      <c r="A242" s="8" t="s">
        <v>2</v>
      </c>
      <c r="B242" s="3"/>
      <c r="C242" s="9">
        <v>0.0</v>
      </c>
      <c r="D242" s="9">
        <v>0.05</v>
      </c>
      <c r="E242" s="9">
        <v>0.194</v>
      </c>
      <c r="F242" s="9">
        <v>0.244</v>
      </c>
    </row>
    <row r="243">
      <c r="A243" s="4" t="s">
        <v>3</v>
      </c>
      <c r="B243" s="4" t="s">
        <v>4</v>
      </c>
      <c r="C243" s="4" t="s">
        <v>5</v>
      </c>
      <c r="D243" s="4" t="s">
        <v>6</v>
      </c>
      <c r="E243" s="4" t="s">
        <v>7</v>
      </c>
      <c r="F243" s="4" t="s">
        <v>8</v>
      </c>
    </row>
    <row r="244">
      <c r="A244" s="10" t="s">
        <v>5</v>
      </c>
      <c r="B244" s="14" t="s">
        <v>76</v>
      </c>
      <c r="C244" s="11">
        <f t="shared" ref="C244:F244" si="172">(5+30+20+30+12)*(1+C242)</f>
        <v>97</v>
      </c>
      <c r="D244" s="11">
        <f t="shared" si="172"/>
        <v>101.85</v>
      </c>
      <c r="E244" s="11">
        <f t="shared" si="172"/>
        <v>115.818</v>
      </c>
      <c r="F244" s="11">
        <f t="shared" si="172"/>
        <v>120.668</v>
      </c>
    </row>
    <row r="245">
      <c r="A245" s="15"/>
      <c r="B245" s="14" t="s">
        <v>77</v>
      </c>
      <c r="C245" s="4">
        <f t="shared" ref="C245:F245" si="173">(5+30+20+30+12)*(1+C242)</f>
        <v>97</v>
      </c>
      <c r="D245" s="4">
        <f t="shared" si="173"/>
        <v>101.85</v>
      </c>
      <c r="E245" s="4">
        <f t="shared" si="173"/>
        <v>115.818</v>
      </c>
      <c r="F245" s="4">
        <f t="shared" si="173"/>
        <v>120.668</v>
      </c>
    </row>
    <row r="246">
      <c r="A246" s="12"/>
      <c r="B246" s="14" t="s">
        <v>78</v>
      </c>
      <c r="C246" s="11">
        <f t="shared" ref="C246:F246" si="174">(5+30+30+30+12)*(1+C242)</f>
        <v>107</v>
      </c>
      <c r="D246" s="11">
        <f t="shared" si="174"/>
        <v>112.35</v>
      </c>
      <c r="E246" s="11">
        <f t="shared" si="174"/>
        <v>127.758</v>
      </c>
      <c r="F246" s="11">
        <f t="shared" si="174"/>
        <v>133.108</v>
      </c>
    </row>
    <row r="247">
      <c r="A247" s="10" t="s">
        <v>34</v>
      </c>
      <c r="B247" s="14" t="s">
        <v>76</v>
      </c>
      <c r="C247" s="11">
        <f t="shared" ref="C247:F247" si="175">(5+30+20+30+12)*(1+C242+10%)</f>
        <v>106.7</v>
      </c>
      <c r="D247" s="11">
        <f t="shared" si="175"/>
        <v>111.55</v>
      </c>
      <c r="E247" s="11">
        <f t="shared" si="175"/>
        <v>125.518</v>
      </c>
      <c r="F247" s="11">
        <f t="shared" si="175"/>
        <v>130.368</v>
      </c>
    </row>
    <row r="248">
      <c r="A248" s="15"/>
      <c r="B248" s="14" t="s">
        <v>77</v>
      </c>
      <c r="C248" s="4">
        <f t="shared" ref="C248:F248" si="176">(5+30+20+30+12)*(1+C242+10%)</f>
        <v>106.7</v>
      </c>
      <c r="D248" s="4">
        <f t="shared" si="176"/>
        <v>111.55</v>
      </c>
      <c r="E248" s="4">
        <f t="shared" si="176"/>
        <v>125.518</v>
      </c>
      <c r="F248" s="4">
        <f t="shared" si="176"/>
        <v>130.368</v>
      </c>
    </row>
    <row r="249">
      <c r="A249" s="12"/>
      <c r="B249" s="14" t="s">
        <v>78</v>
      </c>
      <c r="C249" s="11">
        <f t="shared" ref="C249:F249" si="177">(5+30+30+30+12)*(1+C242+10%)</f>
        <v>117.7</v>
      </c>
      <c r="D249" s="11">
        <f t="shared" si="177"/>
        <v>123.05</v>
      </c>
      <c r="E249" s="11">
        <f t="shared" si="177"/>
        <v>138.458</v>
      </c>
      <c r="F249" s="11">
        <f t="shared" si="177"/>
        <v>143.808</v>
      </c>
    </row>
    <row r="251">
      <c r="A251" s="1" t="s">
        <v>79</v>
      </c>
      <c r="B251" s="2"/>
      <c r="C251" s="2"/>
      <c r="D251" s="2"/>
      <c r="E251" s="2"/>
      <c r="F251" s="3"/>
    </row>
    <row r="252">
      <c r="A252" s="4" t="s">
        <v>1</v>
      </c>
      <c r="B252" s="5">
        <v>160.0</v>
      </c>
      <c r="C252" s="8" t="s">
        <v>80</v>
      </c>
      <c r="D252" s="2"/>
      <c r="E252" s="2"/>
      <c r="F252" s="3"/>
    </row>
    <row r="253">
      <c r="A253" s="8" t="s">
        <v>2</v>
      </c>
      <c r="B253" s="3"/>
      <c r="C253" s="9">
        <v>0.0</v>
      </c>
      <c r="D253" s="9">
        <v>0.05</v>
      </c>
      <c r="E253" s="9">
        <v>0.194</v>
      </c>
      <c r="F253" s="9">
        <v>0.244</v>
      </c>
    </row>
    <row r="254">
      <c r="A254" s="4" t="s">
        <v>3</v>
      </c>
      <c r="B254" s="4" t="s">
        <v>4</v>
      </c>
      <c r="C254" s="4" t="s">
        <v>5</v>
      </c>
      <c r="D254" s="4" t="s">
        <v>6</v>
      </c>
      <c r="E254" s="4" t="s">
        <v>7</v>
      </c>
      <c r="F254" s="4" t="s">
        <v>8</v>
      </c>
    </row>
    <row r="255">
      <c r="A255" s="10" t="s">
        <v>5</v>
      </c>
      <c r="B255" s="14" t="s">
        <v>14</v>
      </c>
      <c r="C255" s="24">
        <f t="shared" ref="C255:F255" si="178">(5+12+35+6+20+6+20+6)*(1+C253)</f>
        <v>110</v>
      </c>
      <c r="D255" s="24">
        <f t="shared" si="178"/>
        <v>115.5</v>
      </c>
      <c r="E255" s="24">
        <f t="shared" si="178"/>
        <v>131.34</v>
      </c>
      <c r="F255" s="24">
        <f t="shared" si="178"/>
        <v>136.84</v>
      </c>
    </row>
    <row r="256">
      <c r="A256" s="15"/>
      <c r="B256" s="14" t="s">
        <v>45</v>
      </c>
      <c r="C256" s="11">
        <f t="shared" ref="C256:F256" si="179">(5+12+20+6+20+6+35+6)*(1+C253)</f>
        <v>110</v>
      </c>
      <c r="D256" s="11">
        <f t="shared" si="179"/>
        <v>115.5</v>
      </c>
      <c r="E256" s="11">
        <f t="shared" si="179"/>
        <v>131.34</v>
      </c>
      <c r="F256" s="11">
        <f t="shared" si="179"/>
        <v>136.84</v>
      </c>
    </row>
    <row r="257">
      <c r="A257" s="15"/>
      <c r="B257" s="14" t="s">
        <v>81</v>
      </c>
      <c r="C257" s="11">
        <f t="shared" ref="C257:F257" si="180">(5+12+35+6+20+6+20+6+35+6)*(1+C253)</f>
        <v>151</v>
      </c>
      <c r="D257" s="11">
        <f t="shared" si="180"/>
        <v>158.55</v>
      </c>
      <c r="E257" s="11">
        <f t="shared" si="180"/>
        <v>180.294</v>
      </c>
      <c r="F257" s="11">
        <f t="shared" si="180"/>
        <v>187.844</v>
      </c>
    </row>
    <row r="258">
      <c r="A258" s="12"/>
      <c r="B258" s="14" t="s">
        <v>33</v>
      </c>
      <c r="C258" s="11">
        <f t="shared" ref="C258:F258" si="181">(5+12+20+6+20+6+35+6+20+6)*(1+C253)</f>
        <v>136</v>
      </c>
      <c r="D258" s="11">
        <f t="shared" si="181"/>
        <v>142.8</v>
      </c>
      <c r="E258" s="11">
        <f t="shared" si="181"/>
        <v>162.384</v>
      </c>
      <c r="F258" s="11">
        <f t="shared" si="181"/>
        <v>169.184</v>
      </c>
    </row>
    <row r="259">
      <c r="A259" s="10" t="s">
        <v>27</v>
      </c>
      <c r="B259" s="14" t="s">
        <v>14</v>
      </c>
      <c r="C259" s="24">
        <f t="shared" ref="C259:F259" si="182">(5+12+35+6+20+6+20+6)*(1+C253+10%)</f>
        <v>121</v>
      </c>
      <c r="D259" s="24">
        <f t="shared" si="182"/>
        <v>126.5</v>
      </c>
      <c r="E259" s="24">
        <f t="shared" si="182"/>
        <v>142.34</v>
      </c>
      <c r="F259" s="24">
        <f t="shared" si="182"/>
        <v>147.84</v>
      </c>
    </row>
    <row r="260">
      <c r="A260" s="15"/>
      <c r="B260" s="14" t="s">
        <v>45</v>
      </c>
      <c r="C260" s="11">
        <f t="shared" ref="C260:F260" si="183">(5+12+20+6+20+6+35+6)*(1+C253+10%)</f>
        <v>121</v>
      </c>
      <c r="D260" s="11">
        <f t="shared" si="183"/>
        <v>126.5</v>
      </c>
      <c r="E260" s="11">
        <f t="shared" si="183"/>
        <v>142.34</v>
      </c>
      <c r="F260" s="11">
        <f t="shared" si="183"/>
        <v>147.84</v>
      </c>
    </row>
    <row r="261">
      <c r="A261" s="15"/>
      <c r="B261" s="14" t="s">
        <v>81</v>
      </c>
      <c r="C261" s="11">
        <f t="shared" ref="C261:F261" si="184">(5+12+30+6+20+6+20+6+35+6)*(1+C253+10%)</f>
        <v>160.6</v>
      </c>
      <c r="D261" s="11">
        <f t="shared" si="184"/>
        <v>167.9</v>
      </c>
      <c r="E261" s="11">
        <f t="shared" si="184"/>
        <v>188.924</v>
      </c>
      <c r="F261" s="11">
        <f t="shared" si="184"/>
        <v>196.224</v>
      </c>
    </row>
    <row r="262">
      <c r="A262" s="12"/>
      <c r="B262" s="14" t="s">
        <v>33</v>
      </c>
      <c r="C262" s="11">
        <f t="shared" ref="C262:F262" si="185">(5+12+20+6+20+6+35+6+20+6)*(1+C253+10%)</f>
        <v>149.6</v>
      </c>
      <c r="D262" s="11">
        <f t="shared" si="185"/>
        <v>156.4</v>
      </c>
      <c r="E262" s="11">
        <f t="shared" si="185"/>
        <v>175.984</v>
      </c>
      <c r="F262" s="11">
        <f t="shared" si="185"/>
        <v>182.784</v>
      </c>
    </row>
    <row r="263">
      <c r="C263" s="8" t="s">
        <v>82</v>
      </c>
      <c r="D263" s="2"/>
      <c r="E263" s="2"/>
      <c r="F263" s="3"/>
    </row>
    <row r="264">
      <c r="A264" s="51" t="s">
        <v>2</v>
      </c>
      <c r="B264" s="3"/>
      <c r="C264" s="52">
        <v>0.0</v>
      </c>
      <c r="D264" s="52">
        <v>0.05</v>
      </c>
      <c r="E264" s="52">
        <v>0.194</v>
      </c>
      <c r="F264" s="52">
        <v>0.244</v>
      </c>
    </row>
    <row r="265">
      <c r="A265" s="53" t="s">
        <v>3</v>
      </c>
      <c r="B265" s="54" t="s">
        <v>4</v>
      </c>
      <c r="C265" s="54" t="s">
        <v>5</v>
      </c>
      <c r="D265" s="54" t="s">
        <v>6</v>
      </c>
      <c r="E265" s="54" t="s">
        <v>7</v>
      </c>
      <c r="F265" s="54" t="s">
        <v>8</v>
      </c>
    </row>
    <row r="266">
      <c r="A266" s="55" t="s">
        <v>5</v>
      </c>
      <c r="B266" s="54" t="s">
        <v>14</v>
      </c>
      <c r="C266" s="32">
        <f t="shared" ref="C266:F266" si="186">(5+12+35+6+20+6+20+6+32)*(1+C264)</f>
        <v>142</v>
      </c>
      <c r="D266" s="32">
        <f t="shared" si="186"/>
        <v>149.1</v>
      </c>
      <c r="E266" s="32">
        <f t="shared" si="186"/>
        <v>169.548</v>
      </c>
      <c r="F266" s="32">
        <f t="shared" si="186"/>
        <v>176.648</v>
      </c>
    </row>
    <row r="267">
      <c r="A267" s="15"/>
      <c r="B267" s="54" t="s">
        <v>45</v>
      </c>
      <c r="C267" s="32">
        <f t="shared" ref="C267:F267" si="187">(5+12+20+6+20+6+35+6+32)*(1+C264)</f>
        <v>142</v>
      </c>
      <c r="D267" s="32">
        <f t="shared" si="187"/>
        <v>149.1</v>
      </c>
      <c r="E267" s="32">
        <f t="shared" si="187"/>
        <v>169.548</v>
      </c>
      <c r="F267" s="32">
        <f t="shared" si="187"/>
        <v>176.648</v>
      </c>
    </row>
    <row r="268">
      <c r="A268" s="15"/>
      <c r="B268" s="54" t="s">
        <v>81</v>
      </c>
      <c r="C268" s="32">
        <f t="shared" ref="C268:F268" si="188">(5+12+35+6+20+6+20+6+35+6+32)*(1+C264)</f>
        <v>183</v>
      </c>
      <c r="D268" s="32">
        <f t="shared" si="188"/>
        <v>192.15</v>
      </c>
      <c r="E268" s="32">
        <f t="shared" si="188"/>
        <v>218.502</v>
      </c>
      <c r="F268" s="32">
        <f t="shared" si="188"/>
        <v>227.652</v>
      </c>
    </row>
    <row r="269">
      <c r="A269" s="12"/>
      <c r="B269" s="54" t="s">
        <v>33</v>
      </c>
      <c r="C269" s="32">
        <f t="shared" ref="C269:F269" si="189">(5+12+20+6+20+6+35+6+20+6+32)*(1+C264)</f>
        <v>168</v>
      </c>
      <c r="D269" s="32">
        <f t="shared" si="189"/>
        <v>176.4</v>
      </c>
      <c r="E269" s="32">
        <f t="shared" si="189"/>
        <v>200.592</v>
      </c>
      <c r="F269" s="32">
        <f t="shared" si="189"/>
        <v>208.992</v>
      </c>
    </row>
    <row r="270">
      <c r="A270" s="55" t="s">
        <v>27</v>
      </c>
      <c r="B270" s="54" t="s">
        <v>14</v>
      </c>
      <c r="C270" s="32">
        <f t="shared" ref="C270:F270" si="190">(5+12+30+6+20+6+20+6+32)*(1+C264+10%)</f>
        <v>150.7</v>
      </c>
      <c r="D270" s="32">
        <f t="shared" si="190"/>
        <v>157.55</v>
      </c>
      <c r="E270" s="32">
        <f t="shared" si="190"/>
        <v>177.278</v>
      </c>
      <c r="F270" s="32">
        <f t="shared" si="190"/>
        <v>184.128</v>
      </c>
    </row>
    <row r="271">
      <c r="A271" s="15"/>
      <c r="B271" s="54" t="s">
        <v>45</v>
      </c>
      <c r="C271" s="32">
        <f t="shared" ref="C271:F271" si="191">(5+12+20+6+20+6+30+6+32)*(1+C264+10%)</f>
        <v>150.7</v>
      </c>
      <c r="D271" s="32">
        <f t="shared" si="191"/>
        <v>157.55</v>
      </c>
      <c r="E271" s="32">
        <f t="shared" si="191"/>
        <v>177.278</v>
      </c>
      <c r="F271" s="32">
        <f t="shared" si="191"/>
        <v>184.128</v>
      </c>
    </row>
    <row r="272">
      <c r="A272" s="15"/>
      <c r="B272" s="54" t="s">
        <v>81</v>
      </c>
      <c r="C272" s="32">
        <f t="shared" ref="C272:F272" si="192">(5+12+30+6+20+6+20+6+30+6+32)*(1+C264+10%)</f>
        <v>190.3</v>
      </c>
      <c r="D272" s="32">
        <f t="shared" si="192"/>
        <v>198.95</v>
      </c>
      <c r="E272" s="32">
        <f t="shared" si="192"/>
        <v>223.862</v>
      </c>
      <c r="F272" s="32">
        <f t="shared" si="192"/>
        <v>232.512</v>
      </c>
    </row>
    <row r="273">
      <c r="A273" s="12"/>
      <c r="B273" s="54" t="s">
        <v>33</v>
      </c>
      <c r="C273" s="32">
        <f t="shared" ref="C273:F273" si="193">(5+12+20+6+20+6+30+6+20+6+32)*(1+C264+10%)</f>
        <v>179.3</v>
      </c>
      <c r="D273" s="32">
        <f t="shared" si="193"/>
        <v>187.45</v>
      </c>
      <c r="E273" s="32">
        <f t="shared" si="193"/>
        <v>210.922</v>
      </c>
      <c r="F273" s="32">
        <f t="shared" si="193"/>
        <v>219.072</v>
      </c>
    </row>
    <row r="275">
      <c r="A275" s="1" t="s">
        <v>83</v>
      </c>
      <c r="B275" s="2"/>
      <c r="C275" s="2"/>
      <c r="D275" s="2"/>
      <c r="E275" s="2"/>
      <c r="F275" s="2"/>
      <c r="G275" s="2"/>
      <c r="H275" s="2"/>
      <c r="I275" s="2"/>
      <c r="J275" s="3"/>
    </row>
    <row r="276">
      <c r="A276" s="4" t="s">
        <v>1</v>
      </c>
      <c r="B276" s="5">
        <v>110.0</v>
      </c>
      <c r="C276" s="6"/>
      <c r="D276" s="2"/>
      <c r="E276" s="2"/>
      <c r="F276" s="3"/>
      <c r="G276" s="8" t="s">
        <v>84</v>
      </c>
      <c r="H276" s="2"/>
      <c r="I276" s="2"/>
      <c r="J276" s="3"/>
    </row>
    <row r="277">
      <c r="A277" s="8" t="s">
        <v>2</v>
      </c>
      <c r="B277" s="3"/>
      <c r="C277" s="9">
        <v>0.0</v>
      </c>
      <c r="D277" s="9">
        <v>0.05</v>
      </c>
      <c r="E277" s="9">
        <v>0.194</v>
      </c>
      <c r="F277" s="9">
        <v>0.244</v>
      </c>
      <c r="G277" s="9">
        <v>0.0</v>
      </c>
      <c r="H277" s="9">
        <v>0.05</v>
      </c>
      <c r="I277" s="9">
        <v>0.194</v>
      </c>
      <c r="J277" s="9">
        <v>0.244</v>
      </c>
    </row>
    <row r="278">
      <c r="A278" s="14" t="s">
        <v>3</v>
      </c>
      <c r="B278" s="14" t="s">
        <v>4</v>
      </c>
      <c r="C278" s="14" t="s">
        <v>5</v>
      </c>
      <c r="D278" s="14" t="s">
        <v>6</v>
      </c>
      <c r="E278" s="14" t="s">
        <v>7</v>
      </c>
      <c r="F278" s="14" t="s">
        <v>8</v>
      </c>
      <c r="G278" s="14" t="s">
        <v>5</v>
      </c>
      <c r="H278" s="14" t="s">
        <v>6</v>
      </c>
      <c r="I278" s="14" t="s">
        <v>7</v>
      </c>
      <c r="J278" s="14" t="s">
        <v>8</v>
      </c>
    </row>
    <row r="279">
      <c r="A279" s="47" t="s">
        <v>5</v>
      </c>
      <c r="B279" s="14" t="s">
        <v>43</v>
      </c>
      <c r="C279" s="46">
        <f t="shared" ref="C279:F279" si="194">(5+20+20)*(1+C277)</f>
        <v>45</v>
      </c>
      <c r="D279" s="46">
        <f t="shared" si="194"/>
        <v>47.25</v>
      </c>
      <c r="E279" s="46">
        <f t="shared" si="194"/>
        <v>53.73</v>
      </c>
      <c r="F279" s="46">
        <f t="shared" si="194"/>
        <v>55.98</v>
      </c>
      <c r="G279" s="46">
        <f t="shared" ref="G279:J279" si="195">(5+20+20+4)*(1+G277)</f>
        <v>49</v>
      </c>
      <c r="H279" s="46">
        <f t="shared" si="195"/>
        <v>51.45</v>
      </c>
      <c r="I279" s="46">
        <f t="shared" si="195"/>
        <v>58.506</v>
      </c>
      <c r="J279" s="46">
        <f t="shared" si="195"/>
        <v>60.956</v>
      </c>
    </row>
    <row r="280">
      <c r="A280" s="15"/>
      <c r="B280" s="14" t="s">
        <v>44</v>
      </c>
      <c r="C280" s="14">
        <f t="shared" ref="C280:F280" si="196">(5+20+20+20)*(1+C277)</f>
        <v>65</v>
      </c>
      <c r="D280" s="14">
        <f t="shared" si="196"/>
        <v>68.25</v>
      </c>
      <c r="E280" s="14">
        <f t="shared" si="196"/>
        <v>77.61</v>
      </c>
      <c r="F280" s="14">
        <f t="shared" si="196"/>
        <v>80.86</v>
      </c>
      <c r="G280" s="14">
        <f t="shared" ref="G280:J280" si="197">(5+20+20+20+4)*(1+G277)</f>
        <v>69</v>
      </c>
      <c r="H280" s="14">
        <f t="shared" si="197"/>
        <v>72.45</v>
      </c>
      <c r="I280" s="14">
        <f t="shared" si="197"/>
        <v>82.386</v>
      </c>
      <c r="J280" s="14">
        <f t="shared" si="197"/>
        <v>85.836</v>
      </c>
    </row>
    <row r="281">
      <c r="A281" s="15"/>
      <c r="B281" s="14" t="s">
        <v>45</v>
      </c>
      <c r="C281" s="46">
        <f t="shared" ref="C281:J281" si="198">(5+30+20+20)*(1+C277)</f>
        <v>75</v>
      </c>
      <c r="D281" s="46">
        <f t="shared" si="198"/>
        <v>78.75</v>
      </c>
      <c r="E281" s="46">
        <f t="shared" si="198"/>
        <v>89.55</v>
      </c>
      <c r="F281" s="46">
        <f t="shared" si="198"/>
        <v>93.3</v>
      </c>
      <c r="G281" s="46">
        <f t="shared" si="198"/>
        <v>75</v>
      </c>
      <c r="H281" s="46">
        <f t="shared" si="198"/>
        <v>78.75</v>
      </c>
      <c r="I281" s="46">
        <f t="shared" si="198"/>
        <v>89.55</v>
      </c>
      <c r="J281" s="46">
        <f t="shared" si="198"/>
        <v>93.3</v>
      </c>
    </row>
    <row r="282">
      <c r="A282" s="15"/>
      <c r="B282" s="48" t="s">
        <v>85</v>
      </c>
      <c r="C282" s="27">
        <f t="shared" ref="C282:F282" si="199">(5+20+30+30)*(1+C277)</f>
        <v>85</v>
      </c>
      <c r="D282" s="27">
        <f t="shared" si="199"/>
        <v>89.25</v>
      </c>
      <c r="E282" s="27">
        <f t="shared" si="199"/>
        <v>101.49</v>
      </c>
      <c r="F282" s="27">
        <f t="shared" si="199"/>
        <v>105.74</v>
      </c>
      <c r="G282" s="27">
        <f t="shared" ref="G282:J282" si="200">(5+20+30+30+4)*(1+G277)</f>
        <v>89</v>
      </c>
      <c r="H282" s="27">
        <f t="shared" si="200"/>
        <v>93.45</v>
      </c>
      <c r="I282" s="27">
        <f t="shared" si="200"/>
        <v>106.266</v>
      </c>
      <c r="J282" s="27">
        <f t="shared" si="200"/>
        <v>110.716</v>
      </c>
    </row>
    <row r="283">
      <c r="A283" s="15"/>
      <c r="B283" s="14" t="s">
        <v>86</v>
      </c>
      <c r="C283" s="56">
        <f t="shared" ref="C283:F283" si="201">(5+20+20+20+30)*(1+C277)</f>
        <v>95</v>
      </c>
      <c r="D283" s="56">
        <f t="shared" si="201"/>
        <v>99.75</v>
      </c>
      <c r="E283" s="56">
        <f t="shared" si="201"/>
        <v>113.43</v>
      </c>
      <c r="F283" s="56">
        <f t="shared" si="201"/>
        <v>118.18</v>
      </c>
      <c r="G283" s="56">
        <f t="shared" ref="G283:J283" si="202">(5+20+20+20+30+4)*(1+G277)</f>
        <v>99</v>
      </c>
      <c r="H283" s="56">
        <f t="shared" si="202"/>
        <v>103.95</v>
      </c>
      <c r="I283" s="56">
        <f t="shared" si="202"/>
        <v>118.206</v>
      </c>
      <c r="J283" s="56">
        <f t="shared" si="202"/>
        <v>123.156</v>
      </c>
    </row>
    <row r="284">
      <c r="A284" s="12"/>
      <c r="B284" s="14" t="s">
        <v>87</v>
      </c>
      <c r="C284" s="56">
        <f t="shared" ref="C284:F284" si="203">(5+20+20+30+30)*(1+C277)</f>
        <v>105</v>
      </c>
      <c r="D284" s="56">
        <f t="shared" si="203"/>
        <v>110.25</v>
      </c>
      <c r="E284" s="56">
        <f t="shared" si="203"/>
        <v>125.37</v>
      </c>
      <c r="F284" s="56">
        <f t="shared" si="203"/>
        <v>130.62</v>
      </c>
      <c r="G284" s="56">
        <f t="shared" ref="G284:J284" si="204">(5+20+20+30+30+4)*(1+G277)</f>
        <v>109</v>
      </c>
      <c r="H284" s="56">
        <f t="shared" si="204"/>
        <v>114.45</v>
      </c>
      <c r="I284" s="56">
        <f t="shared" si="204"/>
        <v>130.146</v>
      </c>
      <c r="J284" s="56">
        <f t="shared" si="204"/>
        <v>135.596</v>
      </c>
    </row>
    <row r="285">
      <c r="A285" s="47" t="s">
        <v>46</v>
      </c>
      <c r="B285" s="14" t="s">
        <v>43</v>
      </c>
      <c r="C285" s="24">
        <f t="shared" ref="C285:F285" si="205">(5+20+20)*(1+C277+12%)</f>
        <v>50.4</v>
      </c>
      <c r="D285" s="24">
        <f t="shared" si="205"/>
        <v>52.65</v>
      </c>
      <c r="E285" s="24">
        <f t="shared" si="205"/>
        <v>59.13</v>
      </c>
      <c r="F285" s="24">
        <f t="shared" si="205"/>
        <v>61.38</v>
      </c>
      <c r="G285" s="24">
        <f t="shared" ref="G285:J285" si="206">(5+20+20+4)*(1+G277+12%)</f>
        <v>54.88</v>
      </c>
      <c r="H285" s="24">
        <f t="shared" si="206"/>
        <v>57.33</v>
      </c>
      <c r="I285" s="24">
        <f t="shared" si="206"/>
        <v>64.386</v>
      </c>
      <c r="J285" s="24">
        <f t="shared" si="206"/>
        <v>66.836</v>
      </c>
    </row>
    <row r="286">
      <c r="A286" s="15"/>
      <c r="B286" s="14" t="s">
        <v>44</v>
      </c>
      <c r="C286" s="24">
        <f t="shared" ref="C286:F286" si="207">(5+20+20+20)*(1+C277+12%)</f>
        <v>72.8</v>
      </c>
      <c r="D286" s="24">
        <f t="shared" si="207"/>
        <v>76.05</v>
      </c>
      <c r="E286" s="24">
        <f t="shared" si="207"/>
        <v>85.41</v>
      </c>
      <c r="F286" s="24">
        <f t="shared" si="207"/>
        <v>88.66</v>
      </c>
      <c r="G286" s="24">
        <f t="shared" ref="G286:J286" si="208">(5+20+20+20+4)*(1+G277+12%)</f>
        <v>77.28</v>
      </c>
      <c r="H286" s="24">
        <f t="shared" si="208"/>
        <v>80.73</v>
      </c>
      <c r="I286" s="24">
        <f t="shared" si="208"/>
        <v>90.666</v>
      </c>
      <c r="J286" s="24">
        <f t="shared" si="208"/>
        <v>94.116</v>
      </c>
    </row>
    <row r="287">
      <c r="A287" s="15"/>
      <c r="B287" s="14" t="s">
        <v>45</v>
      </c>
      <c r="C287" s="46">
        <f t="shared" ref="C287:F287" si="209">(5+30+20+20)*(1+C277+12%)</f>
        <v>84</v>
      </c>
      <c r="D287" s="46">
        <f t="shared" si="209"/>
        <v>87.75</v>
      </c>
      <c r="E287" s="46">
        <f t="shared" si="209"/>
        <v>98.55</v>
      </c>
      <c r="F287" s="46">
        <f t="shared" si="209"/>
        <v>102.3</v>
      </c>
      <c r="G287" s="46">
        <f t="shared" ref="G287:J287" si="210">(5+30+20+20+4)*(1+G277+12%)</f>
        <v>88.48</v>
      </c>
      <c r="H287" s="46">
        <f t="shared" si="210"/>
        <v>92.43</v>
      </c>
      <c r="I287" s="46">
        <f t="shared" si="210"/>
        <v>103.806</v>
      </c>
      <c r="J287" s="46">
        <f t="shared" si="210"/>
        <v>107.756</v>
      </c>
    </row>
    <row r="288">
      <c r="A288" s="15"/>
      <c r="B288" s="48" t="s">
        <v>85</v>
      </c>
      <c r="C288" s="27">
        <f t="shared" ref="C288:F288" si="211">(5+20+30+30)*(1+C277+12%)</f>
        <v>95.2</v>
      </c>
      <c r="D288" s="27">
        <f t="shared" si="211"/>
        <v>99.45</v>
      </c>
      <c r="E288" s="27">
        <f t="shared" si="211"/>
        <v>111.69</v>
      </c>
      <c r="F288" s="27">
        <f t="shared" si="211"/>
        <v>115.94</v>
      </c>
      <c r="G288" s="27">
        <f t="shared" ref="G288:J288" si="212">(5+20+30+30+4)*(1+G277+12%)</f>
        <v>99.68</v>
      </c>
      <c r="H288" s="27">
        <f t="shared" si="212"/>
        <v>104.13</v>
      </c>
      <c r="I288" s="27">
        <f t="shared" si="212"/>
        <v>116.946</v>
      </c>
      <c r="J288" s="27">
        <f t="shared" si="212"/>
        <v>121.396</v>
      </c>
    </row>
    <row r="289">
      <c r="A289" s="15"/>
      <c r="B289" s="14" t="s">
        <v>86</v>
      </c>
      <c r="C289" s="56">
        <f t="shared" ref="C289:F289" si="213">(5+20+20+20+30)*(1+C277+12%)</f>
        <v>106.4</v>
      </c>
      <c r="D289" s="56">
        <f t="shared" si="213"/>
        <v>111.15</v>
      </c>
      <c r="E289" s="56">
        <f t="shared" si="213"/>
        <v>124.83</v>
      </c>
      <c r="F289" s="56">
        <f t="shared" si="213"/>
        <v>129.58</v>
      </c>
      <c r="G289" s="56">
        <f t="shared" ref="G289:J289" si="214">(5+20+20+20+30+4)*(1+G277+12%)</f>
        <v>110.88</v>
      </c>
      <c r="H289" s="56">
        <f t="shared" si="214"/>
        <v>115.83</v>
      </c>
      <c r="I289" s="56">
        <f t="shared" si="214"/>
        <v>130.086</v>
      </c>
      <c r="J289" s="56">
        <f t="shared" si="214"/>
        <v>135.036</v>
      </c>
    </row>
    <row r="290">
      <c r="A290" s="12"/>
      <c r="B290" s="14" t="s">
        <v>87</v>
      </c>
      <c r="C290" s="56">
        <f t="shared" ref="C290:F290" si="215">(5+20+20+30+30)*(1+C277+12%)</f>
        <v>117.6</v>
      </c>
      <c r="D290" s="56">
        <f t="shared" si="215"/>
        <v>122.85</v>
      </c>
      <c r="E290" s="56">
        <f t="shared" si="215"/>
        <v>137.97</v>
      </c>
      <c r="F290" s="56">
        <f t="shared" si="215"/>
        <v>143.22</v>
      </c>
      <c r="G290" s="56">
        <f t="shared" ref="G290:J290" si="216">(5+20+20+30+30+4)*(1+G277+12%)</f>
        <v>122.08</v>
      </c>
      <c r="H290" s="56">
        <f t="shared" si="216"/>
        <v>127.53</v>
      </c>
      <c r="I290" s="56">
        <f t="shared" si="216"/>
        <v>143.226</v>
      </c>
      <c r="J290" s="56">
        <f t="shared" si="216"/>
        <v>148.676</v>
      </c>
    </row>
    <row r="291">
      <c r="A291" s="47" t="s">
        <v>40</v>
      </c>
      <c r="B291" s="14" t="s">
        <v>43</v>
      </c>
      <c r="C291" s="24">
        <f t="shared" ref="C291:F291" si="217">(5+20+20)*(1+C277+14%)</f>
        <v>51.3</v>
      </c>
      <c r="D291" s="24">
        <f t="shared" si="217"/>
        <v>53.55</v>
      </c>
      <c r="E291" s="24">
        <f t="shared" si="217"/>
        <v>60.03</v>
      </c>
      <c r="F291" s="24">
        <f t="shared" si="217"/>
        <v>62.28</v>
      </c>
      <c r="G291" s="24">
        <f t="shared" ref="G291:J291" si="218">(5+20+20+4)*(1+G277+14%)</f>
        <v>55.86</v>
      </c>
      <c r="H291" s="24">
        <f t="shared" si="218"/>
        <v>58.31</v>
      </c>
      <c r="I291" s="24">
        <f t="shared" si="218"/>
        <v>65.366</v>
      </c>
      <c r="J291" s="24">
        <f t="shared" si="218"/>
        <v>67.816</v>
      </c>
    </row>
    <row r="292">
      <c r="A292" s="15"/>
      <c r="B292" s="14" t="s">
        <v>44</v>
      </c>
      <c r="C292" s="24">
        <f t="shared" ref="C292:F292" si="219">(5+20+20+20)*(1+C277+14%)</f>
        <v>74.1</v>
      </c>
      <c r="D292" s="24">
        <f t="shared" si="219"/>
        <v>77.35</v>
      </c>
      <c r="E292" s="24">
        <f t="shared" si="219"/>
        <v>86.71</v>
      </c>
      <c r="F292" s="24">
        <f t="shared" si="219"/>
        <v>89.96</v>
      </c>
      <c r="G292" s="24">
        <f t="shared" ref="G292:J292" si="220">(5+20+20+20+4)*(1+G277+14%)</f>
        <v>78.66</v>
      </c>
      <c r="H292" s="24">
        <f t="shared" si="220"/>
        <v>82.11</v>
      </c>
      <c r="I292" s="24">
        <f t="shared" si="220"/>
        <v>92.046</v>
      </c>
      <c r="J292" s="24">
        <f t="shared" si="220"/>
        <v>95.496</v>
      </c>
    </row>
    <row r="293">
      <c r="A293" s="15"/>
      <c r="B293" s="14" t="s">
        <v>45</v>
      </c>
      <c r="C293" s="46">
        <f t="shared" ref="C293:F293" si="221">(5+30+20+20)*(1+C277+14%)</f>
        <v>85.5</v>
      </c>
      <c r="D293" s="46">
        <f t="shared" si="221"/>
        <v>89.25</v>
      </c>
      <c r="E293" s="46">
        <f t="shared" si="221"/>
        <v>100.05</v>
      </c>
      <c r="F293" s="46">
        <f t="shared" si="221"/>
        <v>103.8</v>
      </c>
      <c r="G293" s="46">
        <f t="shared" ref="G293:J293" si="222">(5+30+20+20+4)*(1+G277+14%)</f>
        <v>90.06</v>
      </c>
      <c r="H293" s="46">
        <f t="shared" si="222"/>
        <v>94.01</v>
      </c>
      <c r="I293" s="46">
        <f t="shared" si="222"/>
        <v>105.386</v>
      </c>
      <c r="J293" s="46">
        <f t="shared" si="222"/>
        <v>109.336</v>
      </c>
    </row>
    <row r="294">
      <c r="A294" s="15"/>
      <c r="B294" s="48" t="s">
        <v>85</v>
      </c>
      <c r="C294" s="27">
        <f t="shared" ref="C294:F294" si="223">(5+20+30+30)*(1+C277+14%)</f>
        <v>96.9</v>
      </c>
      <c r="D294" s="27">
        <f t="shared" si="223"/>
        <v>101.15</v>
      </c>
      <c r="E294" s="27">
        <f t="shared" si="223"/>
        <v>113.39</v>
      </c>
      <c r="F294" s="27">
        <f t="shared" si="223"/>
        <v>117.64</v>
      </c>
      <c r="G294" s="27">
        <f t="shared" ref="G294:J294" si="224">(5+20+30+30+4)*(1+G277+14%)</f>
        <v>101.46</v>
      </c>
      <c r="H294" s="27">
        <f t="shared" si="224"/>
        <v>105.91</v>
      </c>
      <c r="I294" s="27">
        <f t="shared" si="224"/>
        <v>118.726</v>
      </c>
      <c r="J294" s="27">
        <f t="shared" si="224"/>
        <v>123.176</v>
      </c>
    </row>
    <row r="295">
      <c r="A295" s="15"/>
      <c r="B295" s="14" t="s">
        <v>86</v>
      </c>
      <c r="C295" s="56">
        <f t="shared" ref="C295:F295" si="225">(5+20+20+20+30)*(1+C277+14%)</f>
        <v>108.3</v>
      </c>
      <c r="D295" s="56">
        <f t="shared" si="225"/>
        <v>113.05</v>
      </c>
      <c r="E295" s="56">
        <f t="shared" si="225"/>
        <v>126.73</v>
      </c>
      <c r="F295" s="56">
        <f t="shared" si="225"/>
        <v>131.48</v>
      </c>
      <c r="G295" s="56">
        <f t="shared" ref="G295:J295" si="226">(5+20+20+20+30+4)*(1+G277+14%)</f>
        <v>112.86</v>
      </c>
      <c r="H295" s="56">
        <f t="shared" si="226"/>
        <v>117.81</v>
      </c>
      <c r="I295" s="56">
        <f t="shared" si="226"/>
        <v>132.066</v>
      </c>
      <c r="J295" s="56">
        <f t="shared" si="226"/>
        <v>137.016</v>
      </c>
    </row>
    <row r="296">
      <c r="A296" s="12"/>
      <c r="B296" s="14" t="s">
        <v>87</v>
      </c>
      <c r="C296" s="56">
        <f t="shared" ref="C296:F296" si="227">(5+20+20+30+30)*(1+C277+14%)</f>
        <v>119.7</v>
      </c>
      <c r="D296" s="56">
        <f t="shared" si="227"/>
        <v>124.95</v>
      </c>
      <c r="E296" s="56">
        <f t="shared" si="227"/>
        <v>140.07</v>
      </c>
      <c r="F296" s="56">
        <f t="shared" si="227"/>
        <v>145.32</v>
      </c>
      <c r="G296" s="56">
        <f t="shared" ref="G296:J296" si="228">(5+20+20+30+30+4)*(1+G277+14%)</f>
        <v>124.26</v>
      </c>
      <c r="H296" s="56">
        <f t="shared" si="228"/>
        <v>129.71</v>
      </c>
      <c r="I296" s="56">
        <f t="shared" si="228"/>
        <v>145.406</v>
      </c>
      <c r="J296" s="56">
        <f t="shared" si="228"/>
        <v>150.856</v>
      </c>
    </row>
    <row r="297">
      <c r="A297" s="47" t="s">
        <v>41</v>
      </c>
      <c r="B297" s="14" t="s">
        <v>43</v>
      </c>
      <c r="C297" s="24">
        <f t="shared" ref="C297:F297" si="229">(5+20+20)*(1+C277+16%)</f>
        <v>52.2</v>
      </c>
      <c r="D297" s="24">
        <f t="shared" si="229"/>
        <v>54.45</v>
      </c>
      <c r="E297" s="24">
        <f t="shared" si="229"/>
        <v>60.93</v>
      </c>
      <c r="F297" s="24">
        <f t="shared" si="229"/>
        <v>63.18</v>
      </c>
      <c r="G297" s="24">
        <f t="shared" ref="G297:J297" si="230">(5+20+20+4)*(1+G277+16%)</f>
        <v>56.84</v>
      </c>
      <c r="H297" s="24">
        <f t="shared" si="230"/>
        <v>59.29</v>
      </c>
      <c r="I297" s="24">
        <f t="shared" si="230"/>
        <v>66.346</v>
      </c>
      <c r="J297" s="24">
        <f t="shared" si="230"/>
        <v>68.796</v>
      </c>
    </row>
    <row r="298">
      <c r="A298" s="15"/>
      <c r="B298" s="14" t="s">
        <v>44</v>
      </c>
      <c r="C298" s="24">
        <f t="shared" ref="C298:F298" si="231">(5+20+20+20)*(1+C277+16%)</f>
        <v>75.4</v>
      </c>
      <c r="D298" s="24">
        <f t="shared" si="231"/>
        <v>78.65</v>
      </c>
      <c r="E298" s="24">
        <f t="shared" si="231"/>
        <v>88.01</v>
      </c>
      <c r="F298" s="24">
        <f t="shared" si="231"/>
        <v>91.26</v>
      </c>
      <c r="G298" s="24">
        <f t="shared" ref="G298:J298" si="232">(5+20+20+20+4)*(1+G277+16%)</f>
        <v>80.04</v>
      </c>
      <c r="H298" s="24">
        <f t="shared" si="232"/>
        <v>83.49</v>
      </c>
      <c r="I298" s="24">
        <f t="shared" si="232"/>
        <v>93.426</v>
      </c>
      <c r="J298" s="24">
        <f t="shared" si="232"/>
        <v>96.876</v>
      </c>
    </row>
    <row r="299">
      <c r="A299" s="15"/>
      <c r="B299" s="14" t="s">
        <v>45</v>
      </c>
      <c r="C299" s="46">
        <f t="shared" ref="C299:F299" si="233">(5+30+20+20)*(1+C277+16%)</f>
        <v>87</v>
      </c>
      <c r="D299" s="46">
        <f t="shared" si="233"/>
        <v>90.75</v>
      </c>
      <c r="E299" s="46">
        <f t="shared" si="233"/>
        <v>101.55</v>
      </c>
      <c r="F299" s="46">
        <f t="shared" si="233"/>
        <v>105.3</v>
      </c>
      <c r="G299" s="46">
        <f t="shared" ref="G299:J299" si="234">(5+30+20+20+4)*(1+G277+16%)</f>
        <v>91.64</v>
      </c>
      <c r="H299" s="46">
        <f t="shared" si="234"/>
        <v>95.59</v>
      </c>
      <c r="I299" s="46">
        <f t="shared" si="234"/>
        <v>106.966</v>
      </c>
      <c r="J299" s="46">
        <f t="shared" si="234"/>
        <v>110.916</v>
      </c>
    </row>
    <row r="300">
      <c r="A300" s="15"/>
      <c r="B300" s="48" t="s">
        <v>85</v>
      </c>
      <c r="C300" s="27">
        <f t="shared" ref="C300:F300" si="235">(5+20+30+30)*(1+C277+16%)</f>
        <v>98.6</v>
      </c>
      <c r="D300" s="27">
        <f t="shared" si="235"/>
        <v>102.85</v>
      </c>
      <c r="E300" s="27">
        <f t="shared" si="235"/>
        <v>115.09</v>
      </c>
      <c r="F300" s="27">
        <f t="shared" si="235"/>
        <v>119.34</v>
      </c>
      <c r="G300" s="27">
        <f t="shared" ref="G300:J300" si="236">(5+20+30+30+4)*(1+G277+16%)</f>
        <v>103.24</v>
      </c>
      <c r="H300" s="27">
        <f t="shared" si="236"/>
        <v>107.69</v>
      </c>
      <c r="I300" s="27">
        <f t="shared" si="236"/>
        <v>120.506</v>
      </c>
      <c r="J300" s="27">
        <f t="shared" si="236"/>
        <v>124.956</v>
      </c>
    </row>
    <row r="301">
      <c r="A301" s="15"/>
      <c r="B301" s="14" t="s">
        <v>86</v>
      </c>
      <c r="C301" s="56">
        <f t="shared" ref="C301:F301" si="237">(5+20+20+20+30)*(1+C277+16%)</f>
        <v>110.2</v>
      </c>
      <c r="D301" s="56">
        <f t="shared" si="237"/>
        <v>114.95</v>
      </c>
      <c r="E301" s="56">
        <f t="shared" si="237"/>
        <v>128.63</v>
      </c>
      <c r="F301" s="56">
        <f t="shared" si="237"/>
        <v>133.38</v>
      </c>
      <c r="G301" s="56">
        <f t="shared" ref="G301:J301" si="238">(5+20+20+20+30+4)*(1+G277+16%)</f>
        <v>114.84</v>
      </c>
      <c r="H301" s="56">
        <f t="shared" si="238"/>
        <v>119.79</v>
      </c>
      <c r="I301" s="56">
        <f t="shared" si="238"/>
        <v>134.046</v>
      </c>
      <c r="J301" s="56">
        <f t="shared" si="238"/>
        <v>138.996</v>
      </c>
    </row>
    <row r="302">
      <c r="A302" s="12"/>
      <c r="B302" s="14" t="s">
        <v>87</v>
      </c>
      <c r="C302" s="56">
        <f t="shared" ref="C302:F302" si="239">(5+20+20+30+30)*(1+C277+16%)</f>
        <v>121.8</v>
      </c>
      <c r="D302" s="56">
        <f t="shared" si="239"/>
        <v>127.05</v>
      </c>
      <c r="E302" s="56">
        <f t="shared" si="239"/>
        <v>142.17</v>
      </c>
      <c r="F302" s="56">
        <f t="shared" si="239"/>
        <v>147.42</v>
      </c>
      <c r="G302" s="56">
        <f t="shared" ref="G302:J302" si="240">(5+20+20+30+30+4)*(1+G277+16%)</f>
        <v>126.44</v>
      </c>
      <c r="H302" s="56">
        <f t="shared" si="240"/>
        <v>131.89</v>
      </c>
      <c r="I302" s="56">
        <f t="shared" si="240"/>
        <v>147.586</v>
      </c>
      <c r="J302" s="56">
        <f t="shared" si="240"/>
        <v>153.036</v>
      </c>
    </row>
    <row r="303">
      <c r="A303" s="47" t="s">
        <v>88</v>
      </c>
      <c r="B303" s="14" t="s">
        <v>43</v>
      </c>
      <c r="C303" s="24">
        <f t="shared" ref="C303:F303" si="241">(5+9+20+3+20+3)*(1+C277)</f>
        <v>60</v>
      </c>
      <c r="D303" s="24">
        <f t="shared" si="241"/>
        <v>63</v>
      </c>
      <c r="E303" s="24">
        <f t="shared" si="241"/>
        <v>71.64</v>
      </c>
      <c r="F303" s="24">
        <f t="shared" si="241"/>
        <v>74.64</v>
      </c>
      <c r="G303" s="24">
        <f t="shared" ref="G303:J303" si="242">(5+9+20+3+20+3+4)*(1+G277)</f>
        <v>64</v>
      </c>
      <c r="H303" s="24">
        <f t="shared" si="242"/>
        <v>67.2</v>
      </c>
      <c r="I303" s="24">
        <f t="shared" si="242"/>
        <v>76.416</v>
      </c>
      <c r="J303" s="24">
        <f t="shared" si="242"/>
        <v>79.616</v>
      </c>
    </row>
    <row r="304">
      <c r="A304" s="15"/>
      <c r="B304" s="14" t="s">
        <v>44</v>
      </c>
      <c r="C304" s="24">
        <f t="shared" ref="C304:F304" si="243">(5+9+20+3+20+3+20+3)*(1+C277)</f>
        <v>83</v>
      </c>
      <c r="D304" s="24">
        <f t="shared" si="243"/>
        <v>87.15</v>
      </c>
      <c r="E304" s="24">
        <f t="shared" si="243"/>
        <v>99.102</v>
      </c>
      <c r="F304" s="24">
        <f t="shared" si="243"/>
        <v>103.252</v>
      </c>
      <c r="G304" s="24">
        <f t="shared" ref="G304:J304" si="244">(5+9+20+3+20+3+20+3+4)*(1+G277)</f>
        <v>87</v>
      </c>
      <c r="H304" s="24">
        <f t="shared" si="244"/>
        <v>91.35</v>
      </c>
      <c r="I304" s="24">
        <f t="shared" si="244"/>
        <v>103.878</v>
      </c>
      <c r="J304" s="24">
        <f t="shared" si="244"/>
        <v>108.228</v>
      </c>
    </row>
    <row r="305">
      <c r="A305" s="15"/>
      <c r="B305" s="14" t="s">
        <v>45</v>
      </c>
      <c r="C305" s="24">
        <f t="shared" ref="C305:F305" si="245">(5+9+20+3+20+3+30)*(1+C277)</f>
        <v>90</v>
      </c>
      <c r="D305" s="24">
        <f t="shared" si="245"/>
        <v>94.5</v>
      </c>
      <c r="E305" s="24">
        <f t="shared" si="245"/>
        <v>107.46</v>
      </c>
      <c r="F305" s="24">
        <f t="shared" si="245"/>
        <v>111.96</v>
      </c>
      <c r="G305" s="24">
        <f t="shared" ref="G305:J305" si="246">(5+9+20+3+20+3+30+4)*(1+G277)</f>
        <v>94</v>
      </c>
      <c r="H305" s="24">
        <f t="shared" si="246"/>
        <v>98.7</v>
      </c>
      <c r="I305" s="24">
        <f t="shared" si="246"/>
        <v>112.236</v>
      </c>
      <c r="J305" s="24">
        <f t="shared" si="246"/>
        <v>116.936</v>
      </c>
    </row>
    <row r="306">
      <c r="A306" s="15"/>
      <c r="B306" s="14" t="s">
        <v>85</v>
      </c>
      <c r="C306" s="46">
        <f>(5+9+20+3+30+30)*(1+C277)</f>
        <v>97</v>
      </c>
      <c r="D306" s="46">
        <f t="shared" ref="D306:F306" si="247">(5+9+20++3+30+30)*(1+D277)</f>
        <v>101.85</v>
      </c>
      <c r="E306" s="46">
        <f t="shared" si="247"/>
        <v>115.818</v>
      </c>
      <c r="F306" s="46">
        <f t="shared" si="247"/>
        <v>120.668</v>
      </c>
      <c r="G306" s="46">
        <f t="shared" ref="G306:J306" si="248">(5+9+20++3+30+30+4)*(1+G277)</f>
        <v>101</v>
      </c>
      <c r="H306" s="46">
        <f t="shared" si="248"/>
        <v>106.05</v>
      </c>
      <c r="I306" s="46">
        <f t="shared" si="248"/>
        <v>120.594</v>
      </c>
      <c r="J306" s="46">
        <f t="shared" si="248"/>
        <v>125.644</v>
      </c>
    </row>
    <row r="307">
      <c r="A307" s="15"/>
      <c r="B307" s="14" t="s">
        <v>86</v>
      </c>
      <c r="C307" s="46">
        <f t="shared" ref="C307:J307" si="249">(5+9+20+3+20+3+20+3+30)*(1+C277)</f>
        <v>113</v>
      </c>
      <c r="D307" s="46">
        <f t="shared" si="249"/>
        <v>118.65</v>
      </c>
      <c r="E307" s="46">
        <f t="shared" si="249"/>
        <v>134.922</v>
      </c>
      <c r="F307" s="46">
        <f t="shared" si="249"/>
        <v>140.572</v>
      </c>
      <c r="G307" s="46">
        <f t="shared" si="249"/>
        <v>113</v>
      </c>
      <c r="H307" s="46">
        <f t="shared" si="249"/>
        <v>118.65</v>
      </c>
      <c r="I307" s="46">
        <f t="shared" si="249"/>
        <v>134.922</v>
      </c>
      <c r="J307" s="46">
        <f t="shared" si="249"/>
        <v>140.572</v>
      </c>
    </row>
    <row r="308">
      <c r="A308" s="12"/>
      <c r="B308" s="14" t="s">
        <v>87</v>
      </c>
      <c r="C308" s="46">
        <f t="shared" ref="C308:J308" si="250">(5+9+20+3+20+3+30+30)*(1+C277)</f>
        <v>120</v>
      </c>
      <c r="D308" s="46">
        <f t="shared" si="250"/>
        <v>126</v>
      </c>
      <c r="E308" s="46">
        <f t="shared" si="250"/>
        <v>143.28</v>
      </c>
      <c r="F308" s="46">
        <f t="shared" si="250"/>
        <v>149.28</v>
      </c>
      <c r="G308" s="46">
        <f t="shared" si="250"/>
        <v>120</v>
      </c>
      <c r="H308" s="46">
        <f t="shared" si="250"/>
        <v>126</v>
      </c>
      <c r="I308" s="46">
        <f t="shared" si="250"/>
        <v>143.28</v>
      </c>
      <c r="J308" s="46">
        <f t="shared" si="250"/>
        <v>149.28</v>
      </c>
    </row>
    <row r="310">
      <c r="A310" s="1" t="s">
        <v>89</v>
      </c>
      <c r="B310" s="2"/>
      <c r="C310" s="2"/>
      <c r="D310" s="2"/>
      <c r="E310" s="2"/>
      <c r="F310" s="3"/>
    </row>
    <row r="311">
      <c r="A311" s="4" t="s">
        <v>1</v>
      </c>
      <c r="B311" s="5">
        <v>140.0</v>
      </c>
      <c r="C311" s="8" t="s">
        <v>90</v>
      </c>
      <c r="D311" s="2"/>
      <c r="E311" s="2"/>
      <c r="F311" s="3"/>
    </row>
    <row r="312">
      <c r="A312" s="8" t="s">
        <v>2</v>
      </c>
      <c r="B312" s="3"/>
      <c r="C312" s="9">
        <v>0.0</v>
      </c>
      <c r="D312" s="9">
        <v>0.05</v>
      </c>
      <c r="E312" s="9">
        <v>0.194</v>
      </c>
      <c r="F312" s="9">
        <v>0.244</v>
      </c>
    </row>
    <row r="313">
      <c r="A313" s="4" t="s">
        <v>3</v>
      </c>
      <c r="B313" s="4" t="s">
        <v>4</v>
      </c>
      <c r="C313" s="4" t="s">
        <v>5</v>
      </c>
      <c r="D313" s="4" t="s">
        <v>6</v>
      </c>
      <c r="E313" s="4" t="s">
        <v>7</v>
      </c>
      <c r="F313" s="4" t="s">
        <v>8</v>
      </c>
    </row>
    <row r="314">
      <c r="A314" s="10" t="s">
        <v>5</v>
      </c>
      <c r="B314" s="4" t="s">
        <v>29</v>
      </c>
      <c r="C314" s="11">
        <f t="shared" ref="C314:F314" si="251">(5+30+30+20)*(1+C312)</f>
        <v>85</v>
      </c>
      <c r="D314" s="11">
        <f t="shared" si="251"/>
        <v>89.25</v>
      </c>
      <c r="E314" s="11">
        <f t="shared" si="251"/>
        <v>101.49</v>
      </c>
      <c r="F314" s="11">
        <f t="shared" si="251"/>
        <v>105.74</v>
      </c>
    </row>
    <row r="315">
      <c r="A315" s="15"/>
      <c r="B315" s="4" t="s">
        <v>17</v>
      </c>
      <c r="C315" s="4">
        <f t="shared" ref="C315:F315" si="252">(5+30+20+20)*(1+C312)</f>
        <v>75</v>
      </c>
      <c r="D315" s="4">
        <f t="shared" si="252"/>
        <v>78.75</v>
      </c>
      <c r="E315" s="4">
        <f t="shared" si="252"/>
        <v>89.55</v>
      </c>
      <c r="F315" s="4">
        <f t="shared" si="252"/>
        <v>93.3</v>
      </c>
    </row>
    <row r="316">
      <c r="A316" s="15"/>
      <c r="B316" s="4" t="s">
        <v>70</v>
      </c>
      <c r="C316" s="4">
        <f t="shared" ref="C316:F316" si="253">(5+30+30+20+20)*(1+C312)</f>
        <v>105</v>
      </c>
      <c r="D316" s="4">
        <f t="shared" si="253"/>
        <v>110.25</v>
      </c>
      <c r="E316" s="4">
        <f t="shared" si="253"/>
        <v>125.37</v>
      </c>
      <c r="F316" s="4">
        <f t="shared" si="253"/>
        <v>130.62</v>
      </c>
    </row>
    <row r="317">
      <c r="A317" s="12"/>
      <c r="B317" s="4" t="s">
        <v>25</v>
      </c>
      <c r="C317" s="13">
        <f t="shared" ref="C317:F317" si="254">(5+30+30+30+20)*(1+C312)</f>
        <v>115</v>
      </c>
      <c r="D317" s="13">
        <f t="shared" si="254"/>
        <v>120.75</v>
      </c>
      <c r="E317" s="13">
        <f t="shared" si="254"/>
        <v>137.31</v>
      </c>
      <c r="F317" s="13">
        <f t="shared" si="254"/>
        <v>143.06</v>
      </c>
    </row>
    <row r="318">
      <c r="A318" s="10" t="s">
        <v>11</v>
      </c>
      <c r="B318" s="4" t="s">
        <v>29</v>
      </c>
      <c r="C318" s="11">
        <f t="shared" ref="C318:F318" si="255">(5+30+7+30+7+20)*(1+C312)</f>
        <v>99</v>
      </c>
      <c r="D318" s="11">
        <f t="shared" si="255"/>
        <v>103.95</v>
      </c>
      <c r="E318" s="11">
        <f t="shared" si="255"/>
        <v>118.206</v>
      </c>
      <c r="F318" s="11">
        <f t="shared" si="255"/>
        <v>123.156</v>
      </c>
    </row>
    <row r="319">
      <c r="A319" s="15"/>
      <c r="B319" s="4" t="s">
        <v>17</v>
      </c>
      <c r="C319" s="4">
        <f t="shared" ref="C319:F319" si="256">(5+30+7+20+7+20)*(1+C312)</f>
        <v>89</v>
      </c>
      <c r="D319" s="4">
        <f t="shared" si="256"/>
        <v>93.45</v>
      </c>
      <c r="E319" s="4">
        <f t="shared" si="256"/>
        <v>106.266</v>
      </c>
      <c r="F319" s="4">
        <f t="shared" si="256"/>
        <v>110.716</v>
      </c>
    </row>
    <row r="320">
      <c r="A320" s="15"/>
      <c r="B320" s="4" t="s">
        <v>70</v>
      </c>
      <c r="C320" s="4">
        <f t="shared" ref="C320:F320" si="257">(5+30+7+30+7+20+7+20)*(1+C312)</f>
        <v>126</v>
      </c>
      <c r="D320" s="4">
        <f t="shared" si="257"/>
        <v>132.3</v>
      </c>
      <c r="E320" s="4">
        <f t="shared" si="257"/>
        <v>150.444</v>
      </c>
      <c r="F320" s="4">
        <f t="shared" si="257"/>
        <v>156.744</v>
      </c>
    </row>
    <row r="321">
      <c r="A321" s="12"/>
      <c r="B321" s="4" t="s">
        <v>25</v>
      </c>
      <c r="C321" s="13">
        <f t="shared" ref="C321:F321" si="258">(5+30+7+30+7+30+7+20)*(1+C312)</f>
        <v>136</v>
      </c>
      <c r="D321" s="13">
        <f t="shared" si="258"/>
        <v>142.8</v>
      </c>
      <c r="E321" s="13">
        <f t="shared" si="258"/>
        <v>162.384</v>
      </c>
      <c r="F321" s="13">
        <f t="shared" si="258"/>
        <v>169.184</v>
      </c>
    </row>
    <row r="322">
      <c r="A322" s="10" t="s">
        <v>12</v>
      </c>
      <c r="B322" s="4" t="s">
        <v>29</v>
      </c>
      <c r="C322" s="11">
        <f t="shared" ref="C322:F322" si="259">(5+30+8+30+8+20)*(1+C312)</f>
        <v>101</v>
      </c>
      <c r="D322" s="11">
        <f t="shared" si="259"/>
        <v>106.05</v>
      </c>
      <c r="E322" s="11">
        <f t="shared" si="259"/>
        <v>120.594</v>
      </c>
      <c r="F322" s="11">
        <f t="shared" si="259"/>
        <v>125.644</v>
      </c>
    </row>
    <row r="323">
      <c r="A323" s="15"/>
      <c r="B323" s="4" t="s">
        <v>17</v>
      </c>
      <c r="C323" s="4">
        <f t="shared" ref="C323:F323" si="260">(5+30+8+20+8+20)*(1+C312)</f>
        <v>91</v>
      </c>
      <c r="D323" s="4">
        <f t="shared" si="260"/>
        <v>95.55</v>
      </c>
      <c r="E323" s="4">
        <f t="shared" si="260"/>
        <v>108.654</v>
      </c>
      <c r="F323" s="4">
        <f t="shared" si="260"/>
        <v>113.204</v>
      </c>
    </row>
    <row r="324">
      <c r="A324" s="15"/>
      <c r="B324" s="4" t="s">
        <v>70</v>
      </c>
      <c r="C324" s="4">
        <f t="shared" ref="C324:F324" si="261">(5+30+8+30+8+20+8+20)*(1+C312)</f>
        <v>129</v>
      </c>
      <c r="D324" s="4">
        <f t="shared" si="261"/>
        <v>135.45</v>
      </c>
      <c r="E324" s="4">
        <f t="shared" si="261"/>
        <v>154.026</v>
      </c>
      <c r="F324" s="4">
        <f t="shared" si="261"/>
        <v>160.476</v>
      </c>
    </row>
    <row r="325">
      <c r="A325" s="12"/>
      <c r="B325" s="4" t="s">
        <v>25</v>
      </c>
      <c r="C325" s="13">
        <f t="shared" ref="C325:F325" si="262">(5+30+8+30+8+30+8+20)*(1+C312)</f>
        <v>139</v>
      </c>
      <c r="D325" s="13">
        <f t="shared" si="262"/>
        <v>145.95</v>
      </c>
      <c r="E325" s="13">
        <f t="shared" si="262"/>
        <v>165.966</v>
      </c>
      <c r="F325" s="13">
        <f t="shared" si="262"/>
        <v>172.916</v>
      </c>
    </row>
    <row r="326">
      <c r="A326" s="57"/>
      <c r="B326" s="3"/>
      <c r="C326" s="8" t="s">
        <v>91</v>
      </c>
      <c r="D326" s="2"/>
      <c r="E326" s="2"/>
      <c r="F326" s="3"/>
    </row>
    <row r="327">
      <c r="A327" s="8" t="s">
        <v>2</v>
      </c>
      <c r="B327" s="3"/>
      <c r="C327" s="9">
        <v>0.0</v>
      </c>
      <c r="D327" s="9">
        <v>0.05</v>
      </c>
      <c r="E327" s="9">
        <v>0.194</v>
      </c>
      <c r="F327" s="9">
        <v>0.244</v>
      </c>
    </row>
    <row r="328">
      <c r="A328" s="4" t="s">
        <v>3</v>
      </c>
      <c r="B328" s="4" t="s">
        <v>4</v>
      </c>
      <c r="C328" s="4" t="s">
        <v>5</v>
      </c>
      <c r="D328" s="4" t="s">
        <v>6</v>
      </c>
      <c r="E328" s="4" t="s">
        <v>7</v>
      </c>
      <c r="F328" s="4" t="s">
        <v>8</v>
      </c>
    </row>
    <row r="329">
      <c r="A329" s="10" t="s">
        <v>5</v>
      </c>
      <c r="B329" s="4" t="s">
        <v>29</v>
      </c>
      <c r="C329" s="11">
        <f t="shared" ref="C329:F329" si="263">(5+42+42+20)*(1+C327)</f>
        <v>109</v>
      </c>
      <c r="D329" s="11">
        <f t="shared" si="263"/>
        <v>114.45</v>
      </c>
      <c r="E329" s="11">
        <f t="shared" si="263"/>
        <v>130.146</v>
      </c>
      <c r="F329" s="11">
        <f t="shared" si="263"/>
        <v>135.596</v>
      </c>
    </row>
    <row r="330">
      <c r="A330" s="15"/>
      <c r="B330" s="4" t="s">
        <v>17</v>
      </c>
      <c r="C330" s="4">
        <f t="shared" ref="C330:F330" si="264">(5+42+20+20)*(1+C327)</f>
        <v>87</v>
      </c>
      <c r="D330" s="4">
        <f t="shared" si="264"/>
        <v>91.35</v>
      </c>
      <c r="E330" s="4">
        <f t="shared" si="264"/>
        <v>103.878</v>
      </c>
      <c r="F330" s="4">
        <f t="shared" si="264"/>
        <v>108.228</v>
      </c>
    </row>
    <row r="331">
      <c r="A331" s="15"/>
      <c r="B331" s="4" t="s">
        <v>70</v>
      </c>
      <c r="C331" s="4">
        <f t="shared" ref="C331:F331" si="265">(5+42+42+20+20)*(1+C327)</f>
        <v>129</v>
      </c>
      <c r="D331" s="4">
        <f t="shared" si="265"/>
        <v>135.45</v>
      </c>
      <c r="E331" s="4">
        <f t="shared" si="265"/>
        <v>154.026</v>
      </c>
      <c r="F331" s="4">
        <f t="shared" si="265"/>
        <v>160.476</v>
      </c>
    </row>
    <row r="332">
      <c r="A332" s="12"/>
      <c r="B332" s="4" t="s">
        <v>25</v>
      </c>
      <c r="C332" s="13">
        <f t="shared" ref="C332:F332" si="266">(5+42+42+42+20)*(1+C327)</f>
        <v>151</v>
      </c>
      <c r="D332" s="13">
        <f t="shared" si="266"/>
        <v>158.55</v>
      </c>
      <c r="E332" s="13">
        <f t="shared" si="266"/>
        <v>180.294</v>
      </c>
      <c r="F332" s="13">
        <f t="shared" si="266"/>
        <v>187.844</v>
      </c>
    </row>
    <row r="333">
      <c r="A333" s="10" t="s">
        <v>11</v>
      </c>
      <c r="B333" s="4" t="s">
        <v>29</v>
      </c>
      <c r="C333" s="11">
        <f t="shared" ref="C333:F333" si="267">(5+42+7+42+7+20)*(1+C327)</f>
        <v>123</v>
      </c>
      <c r="D333" s="11">
        <f t="shared" si="267"/>
        <v>129.15</v>
      </c>
      <c r="E333" s="11">
        <f t="shared" si="267"/>
        <v>146.862</v>
      </c>
      <c r="F333" s="11">
        <f t="shared" si="267"/>
        <v>153.012</v>
      </c>
    </row>
    <row r="334">
      <c r="A334" s="15"/>
      <c r="B334" s="4" t="s">
        <v>17</v>
      </c>
      <c r="C334" s="4">
        <f t="shared" ref="C334:F334" si="268">(5+42+7+20+7+20)*(1+C327)</f>
        <v>101</v>
      </c>
      <c r="D334" s="4">
        <f t="shared" si="268"/>
        <v>106.05</v>
      </c>
      <c r="E334" s="4">
        <f t="shared" si="268"/>
        <v>120.594</v>
      </c>
      <c r="F334" s="4">
        <f t="shared" si="268"/>
        <v>125.644</v>
      </c>
    </row>
    <row r="335">
      <c r="A335" s="15"/>
      <c r="B335" s="4" t="s">
        <v>70</v>
      </c>
      <c r="C335" s="4">
        <f t="shared" ref="C335:F335" si="269">(5+42+7+42+7+20+7+20)*(1+C327)</f>
        <v>150</v>
      </c>
      <c r="D335" s="4">
        <f t="shared" si="269"/>
        <v>157.5</v>
      </c>
      <c r="E335" s="4">
        <f t="shared" si="269"/>
        <v>179.1</v>
      </c>
      <c r="F335" s="4">
        <f t="shared" si="269"/>
        <v>186.6</v>
      </c>
    </row>
    <row r="336">
      <c r="A336" s="12"/>
      <c r="B336" s="4" t="s">
        <v>25</v>
      </c>
      <c r="C336" s="13">
        <f t="shared" ref="C336:F336" si="270">(5+42+7+42+7+42+7+20)*(1+C327)</f>
        <v>172</v>
      </c>
      <c r="D336" s="13">
        <f t="shared" si="270"/>
        <v>180.6</v>
      </c>
      <c r="E336" s="13">
        <f t="shared" si="270"/>
        <v>205.368</v>
      </c>
      <c r="F336" s="13">
        <f t="shared" si="270"/>
        <v>213.968</v>
      </c>
    </row>
    <row r="337">
      <c r="A337" s="10" t="s">
        <v>12</v>
      </c>
      <c r="B337" s="4" t="s">
        <v>29</v>
      </c>
      <c r="C337" s="11">
        <f t="shared" ref="C337:F337" si="271">(5+42+8+42+8+20)*(1+C327)</f>
        <v>125</v>
      </c>
      <c r="D337" s="11">
        <f t="shared" si="271"/>
        <v>131.25</v>
      </c>
      <c r="E337" s="11">
        <f t="shared" si="271"/>
        <v>149.25</v>
      </c>
      <c r="F337" s="11">
        <f t="shared" si="271"/>
        <v>155.5</v>
      </c>
    </row>
    <row r="338">
      <c r="A338" s="15"/>
      <c r="B338" s="4" t="s">
        <v>17</v>
      </c>
      <c r="C338" s="4">
        <f t="shared" ref="C338:F338" si="272">(5+42+8+20+8+20)*(1+C327)</f>
        <v>103</v>
      </c>
      <c r="D338" s="4">
        <f t="shared" si="272"/>
        <v>108.15</v>
      </c>
      <c r="E338" s="4">
        <f t="shared" si="272"/>
        <v>122.982</v>
      </c>
      <c r="F338" s="4">
        <f t="shared" si="272"/>
        <v>128.132</v>
      </c>
    </row>
    <row r="339">
      <c r="A339" s="15"/>
      <c r="B339" s="4" t="s">
        <v>70</v>
      </c>
      <c r="C339" s="4">
        <f t="shared" ref="C339:F339" si="273">(5+42+8+42+8+20+8+20)*(1+C327)</f>
        <v>153</v>
      </c>
      <c r="D339" s="4">
        <f t="shared" si="273"/>
        <v>160.65</v>
      </c>
      <c r="E339" s="4">
        <f t="shared" si="273"/>
        <v>182.682</v>
      </c>
      <c r="F339" s="4">
        <f t="shared" si="273"/>
        <v>190.332</v>
      </c>
    </row>
    <row r="340">
      <c r="A340" s="12"/>
      <c r="B340" s="4" t="s">
        <v>25</v>
      </c>
      <c r="C340" s="13">
        <f t="shared" ref="C340:F340" si="274">(5+42+8+42+8+42+8+20)*(1+C327)</f>
        <v>175</v>
      </c>
      <c r="D340" s="13">
        <f t="shared" si="274"/>
        <v>183.75</v>
      </c>
      <c r="E340" s="13">
        <f t="shared" si="274"/>
        <v>208.95</v>
      </c>
      <c r="F340" s="13">
        <f t="shared" si="274"/>
        <v>217.7</v>
      </c>
    </row>
  </sheetData>
  <mergeCells count="148">
    <mergeCell ref="A84:A86"/>
    <mergeCell ref="A87:A89"/>
    <mergeCell ref="A90:A92"/>
    <mergeCell ref="A93:A95"/>
    <mergeCell ref="A97:F97"/>
    <mergeCell ref="C98:F98"/>
    <mergeCell ref="A99:B99"/>
    <mergeCell ref="A101:A102"/>
    <mergeCell ref="A103:A104"/>
    <mergeCell ref="A105:A106"/>
    <mergeCell ref="C107:F107"/>
    <mergeCell ref="A108:A109"/>
    <mergeCell ref="A110:A111"/>
    <mergeCell ref="C114:F114"/>
    <mergeCell ref="A112:A113"/>
    <mergeCell ref="A115:A116"/>
    <mergeCell ref="A117:A118"/>
    <mergeCell ref="A119:A120"/>
    <mergeCell ref="A122:F122"/>
    <mergeCell ref="C123:F123"/>
    <mergeCell ref="A124:B124"/>
    <mergeCell ref="A126:A127"/>
    <mergeCell ref="A128:A129"/>
    <mergeCell ref="A130:A131"/>
    <mergeCell ref="A133:F133"/>
    <mergeCell ref="C134:F134"/>
    <mergeCell ref="A135:B135"/>
    <mergeCell ref="A137:A138"/>
    <mergeCell ref="A139:A140"/>
    <mergeCell ref="A141:A142"/>
    <mergeCell ref="C143:F143"/>
    <mergeCell ref="A144:A145"/>
    <mergeCell ref="A146:A147"/>
    <mergeCell ref="A148:A149"/>
    <mergeCell ref="C150:F150"/>
    <mergeCell ref="A151:A152"/>
    <mergeCell ref="A153:A155"/>
    <mergeCell ref="A156:A158"/>
    <mergeCell ref="A160:F160"/>
    <mergeCell ref="C161:F161"/>
    <mergeCell ref="A162:B162"/>
    <mergeCell ref="A164:A166"/>
    <mergeCell ref="A1:F1"/>
    <mergeCell ref="C2:F2"/>
    <mergeCell ref="A3:B3"/>
    <mergeCell ref="A5:A6"/>
    <mergeCell ref="A7:A8"/>
    <mergeCell ref="A9:A10"/>
    <mergeCell ref="A12:F12"/>
    <mergeCell ref="C13:F13"/>
    <mergeCell ref="A14:B14"/>
    <mergeCell ref="A16:A17"/>
    <mergeCell ref="A18:A20"/>
    <mergeCell ref="A21:A23"/>
    <mergeCell ref="G21:G23"/>
    <mergeCell ref="A25:F25"/>
    <mergeCell ref="C26:F26"/>
    <mergeCell ref="A27:B27"/>
    <mergeCell ref="A29:A31"/>
    <mergeCell ref="A32:A34"/>
    <mergeCell ref="A35:A37"/>
    <mergeCell ref="A39:F39"/>
    <mergeCell ref="C40:F40"/>
    <mergeCell ref="A41:B41"/>
    <mergeCell ref="A43:A44"/>
    <mergeCell ref="A45:A46"/>
    <mergeCell ref="A47:A49"/>
    <mergeCell ref="A50:A52"/>
    <mergeCell ref="A54:F54"/>
    <mergeCell ref="C55:F55"/>
    <mergeCell ref="A56:B56"/>
    <mergeCell ref="A58:A59"/>
    <mergeCell ref="A60:A61"/>
    <mergeCell ref="A63:J63"/>
    <mergeCell ref="C64:F64"/>
    <mergeCell ref="G64:J64"/>
    <mergeCell ref="A65:B65"/>
    <mergeCell ref="A67:A69"/>
    <mergeCell ref="A70:A72"/>
    <mergeCell ref="A73:A75"/>
    <mergeCell ref="A76:A78"/>
    <mergeCell ref="A80:F80"/>
    <mergeCell ref="C81:F81"/>
    <mergeCell ref="A82:B82"/>
    <mergeCell ref="A167:A169"/>
    <mergeCell ref="A170:A172"/>
    <mergeCell ref="A173:A175"/>
    <mergeCell ref="A177:F177"/>
    <mergeCell ref="C178:F178"/>
    <mergeCell ref="A179:B179"/>
    <mergeCell ref="A181:A183"/>
    <mergeCell ref="A270:A273"/>
    <mergeCell ref="A279:A284"/>
    <mergeCell ref="A285:A290"/>
    <mergeCell ref="A291:A296"/>
    <mergeCell ref="A297:A302"/>
    <mergeCell ref="A303:A308"/>
    <mergeCell ref="A310:F310"/>
    <mergeCell ref="C311:F311"/>
    <mergeCell ref="A312:B312"/>
    <mergeCell ref="A314:A317"/>
    <mergeCell ref="A318:A321"/>
    <mergeCell ref="A326:B326"/>
    <mergeCell ref="C326:F326"/>
    <mergeCell ref="A327:B327"/>
    <mergeCell ref="A184:A186"/>
    <mergeCell ref="A188:F188"/>
    <mergeCell ref="C189:F189"/>
    <mergeCell ref="A190:B190"/>
    <mergeCell ref="A192:A195"/>
    <mergeCell ref="A196:A199"/>
    <mergeCell ref="A200:A203"/>
    <mergeCell ref="A204:A207"/>
    <mergeCell ref="A209:F209"/>
    <mergeCell ref="C210:F210"/>
    <mergeCell ref="A211:B211"/>
    <mergeCell ref="A213:A216"/>
    <mergeCell ref="A217:A220"/>
    <mergeCell ref="C221:F221"/>
    <mergeCell ref="A222:A225"/>
    <mergeCell ref="A226:A229"/>
    <mergeCell ref="A231:F231"/>
    <mergeCell ref="C232:F232"/>
    <mergeCell ref="A233:B233"/>
    <mergeCell ref="A235:A236"/>
    <mergeCell ref="A237:A238"/>
    <mergeCell ref="C263:F263"/>
    <mergeCell ref="A275:J275"/>
    <mergeCell ref="C276:F276"/>
    <mergeCell ref="G276:J276"/>
    <mergeCell ref="A240:F240"/>
    <mergeCell ref="C241:F241"/>
    <mergeCell ref="A242:B242"/>
    <mergeCell ref="A244:A246"/>
    <mergeCell ref="A251:F251"/>
    <mergeCell ref="C252:F252"/>
    <mergeCell ref="A253:B253"/>
    <mergeCell ref="A247:A249"/>
    <mergeCell ref="A255:A258"/>
    <mergeCell ref="A259:A262"/>
    <mergeCell ref="A263:B263"/>
    <mergeCell ref="A264:B264"/>
    <mergeCell ref="A266:A269"/>
    <mergeCell ref="A277:B277"/>
    <mergeCell ref="A322:A325"/>
    <mergeCell ref="A329:A332"/>
    <mergeCell ref="A333:A336"/>
    <mergeCell ref="A337:A340"/>
  </mergeCells>
  <conditionalFormatting sqref="G4">
    <cfRule type="notContainsBlanks" dxfId="0" priority="1">
      <formula>LEN(TRIM(G4))&gt;0</formula>
    </cfRule>
  </conditionalFormatting>
  <conditionalFormatting sqref="C16:F23">
    <cfRule type="cellIs" dxfId="1" priority="2" operator="lessThan">
      <formula>110</formula>
    </cfRule>
  </conditionalFormatting>
  <conditionalFormatting sqref="C16:F23">
    <cfRule type="cellIs" dxfId="0" priority="3" operator="greaterThanOrEqual">
      <formula>110</formula>
    </cfRule>
  </conditionalFormatting>
  <conditionalFormatting sqref="C29:F37">
    <cfRule type="cellIs" dxfId="2" priority="4" operator="lessThan">
      <formula>110</formula>
    </cfRule>
  </conditionalFormatting>
  <conditionalFormatting sqref="C29:F37">
    <cfRule type="cellIs" dxfId="0" priority="5" operator="greaterThanOrEqual">
      <formula>110</formula>
    </cfRule>
  </conditionalFormatting>
  <conditionalFormatting sqref="C43:F52">
    <cfRule type="cellIs" dxfId="1" priority="6" operator="lessThan">
      <formula>120</formula>
    </cfRule>
  </conditionalFormatting>
  <conditionalFormatting sqref="C43:F52">
    <cfRule type="cellIs" dxfId="3" priority="7" operator="greaterThanOrEqual">
      <formula>120</formula>
    </cfRule>
  </conditionalFormatting>
  <conditionalFormatting sqref="C67:F79 G67:J78">
    <cfRule type="cellIs" dxfId="2" priority="8" operator="lessThan">
      <formula>140</formula>
    </cfRule>
  </conditionalFormatting>
  <conditionalFormatting sqref="C67:F79 G67:J78">
    <cfRule type="cellIs" dxfId="0" priority="9" operator="greaterThanOrEqual">
      <formula>140</formula>
    </cfRule>
  </conditionalFormatting>
  <conditionalFormatting sqref="C84:F96 C192:F207">
    <cfRule type="cellIs" dxfId="1" priority="10" operator="lessThan">
      <formula>100</formula>
    </cfRule>
  </conditionalFormatting>
  <conditionalFormatting sqref="C84:F96 C192:F207">
    <cfRule type="cellIs" dxfId="3" priority="11" operator="greaterThanOrEqual">
      <formula>100</formula>
    </cfRule>
  </conditionalFormatting>
  <conditionalFormatting sqref="C58:F62">
    <cfRule type="cellIs" dxfId="1" priority="12" operator="lessThan">
      <formula>135</formula>
    </cfRule>
  </conditionalFormatting>
  <conditionalFormatting sqref="C58:F62">
    <cfRule type="cellIs" dxfId="0" priority="13" operator="greaterThanOrEqual">
      <formula>135</formula>
    </cfRule>
  </conditionalFormatting>
  <conditionalFormatting sqref="C5:F10">
    <cfRule type="cellIs" dxfId="4" priority="14" operator="lessThan">
      <formula>130</formula>
    </cfRule>
  </conditionalFormatting>
  <conditionalFormatting sqref="C5:F10">
    <cfRule type="cellIs" dxfId="0" priority="15" operator="greaterThanOrEqual">
      <formula>130</formula>
    </cfRule>
  </conditionalFormatting>
  <conditionalFormatting sqref="C115:F120 C108:F113 C101:F106">
    <cfRule type="cellIs" dxfId="1" priority="16" operator="lessThan">
      <formula>130</formula>
    </cfRule>
  </conditionalFormatting>
  <conditionalFormatting sqref="C115:F120 C108:F113 C101:F106">
    <cfRule type="cellIs" dxfId="0" priority="17" operator="greaterThanOrEqual">
      <formula>130</formula>
    </cfRule>
  </conditionalFormatting>
  <conditionalFormatting sqref="C126:F131">
    <cfRule type="cellIs" dxfId="1" priority="18" operator="lessThan">
      <formula>130</formula>
    </cfRule>
  </conditionalFormatting>
  <conditionalFormatting sqref="C126:F131">
    <cfRule type="cellIs" dxfId="0" priority="19" operator="greaterThanOrEqual">
      <formula>130</formula>
    </cfRule>
  </conditionalFormatting>
  <conditionalFormatting sqref="C137:F142 C144:F149 C151:F158">
    <cfRule type="cellIs" dxfId="1" priority="20" operator="lessThan">
      <formula>120</formula>
    </cfRule>
  </conditionalFormatting>
  <conditionalFormatting sqref="C137:F142 C144:F149 C151:F158">
    <cfRule type="cellIs" dxfId="0" priority="21" operator="greaterThanOrEqual">
      <formula>120</formula>
    </cfRule>
  </conditionalFormatting>
  <conditionalFormatting sqref="C164:F175">
    <cfRule type="cellIs" dxfId="1" priority="22" operator="lessThan">
      <formula>140</formula>
    </cfRule>
  </conditionalFormatting>
  <conditionalFormatting sqref="C164:F175">
    <cfRule type="cellIs" dxfId="0" priority="23" operator="greaterThanOrEqual">
      <formula>140</formula>
    </cfRule>
  </conditionalFormatting>
  <conditionalFormatting sqref="C180:F186">
    <cfRule type="cellIs" dxfId="1" priority="24" operator="lessThan">
      <formula>100</formula>
    </cfRule>
  </conditionalFormatting>
  <conditionalFormatting sqref="C180:F186">
    <cfRule type="cellIs" dxfId="0" priority="25" operator="greaterThanOrEqual">
      <formula>100</formula>
    </cfRule>
  </conditionalFormatting>
  <conditionalFormatting sqref="G213">
    <cfRule type="notContainsBlanks" dxfId="0" priority="26">
      <formula>LEN(TRIM(G213))&gt;0</formula>
    </cfRule>
  </conditionalFormatting>
  <conditionalFormatting sqref="C213:F220 C222:F229">
    <cfRule type="cellIs" dxfId="1" priority="27" operator="lessThan">
      <formula>120</formula>
    </cfRule>
  </conditionalFormatting>
  <conditionalFormatting sqref="C213:F220 C222:F229">
    <cfRule type="cellIs" dxfId="0" priority="28" operator="greaterThanOrEqual">
      <formula>120</formula>
    </cfRule>
  </conditionalFormatting>
  <conditionalFormatting sqref="C244:F249">
    <cfRule type="cellIs" dxfId="4" priority="29" operator="lessThan">
      <formula>120</formula>
    </cfRule>
  </conditionalFormatting>
  <conditionalFormatting sqref="C244:F249">
    <cfRule type="cellIs" dxfId="0" priority="30" operator="greaterThanOrEqual">
      <formula>120</formula>
    </cfRule>
  </conditionalFormatting>
  <conditionalFormatting sqref="C235:F238">
    <cfRule type="cellIs" dxfId="1" priority="31" operator="lessThan">
      <formula>110</formula>
    </cfRule>
  </conditionalFormatting>
  <conditionalFormatting sqref="C235:F238">
    <cfRule type="cellIs" dxfId="0" priority="32" operator="greaterThanOrEqual">
      <formula>110</formula>
    </cfRule>
  </conditionalFormatting>
  <conditionalFormatting sqref="C279:J308">
    <cfRule type="cellIs" dxfId="1" priority="33" operator="lessThan">
      <formula>110</formula>
    </cfRule>
  </conditionalFormatting>
  <conditionalFormatting sqref="C279:J308">
    <cfRule type="cellIs" dxfId="0" priority="34" operator="greaterThanOrEqual">
      <formula>110</formula>
    </cfRule>
  </conditionalFormatting>
  <conditionalFormatting sqref="C255:F262">
    <cfRule type="cellIs" dxfId="4" priority="35" operator="lessThan">
      <formula>160</formula>
    </cfRule>
  </conditionalFormatting>
  <conditionalFormatting sqref="C255:F262">
    <cfRule type="cellIs" dxfId="0" priority="36" operator="greaterThanOrEqual">
      <formula>160</formula>
    </cfRule>
  </conditionalFormatting>
  <conditionalFormatting sqref="C266:F273">
    <cfRule type="cellIs" dxfId="1" priority="37" operator="lessThan">
      <formula>160</formula>
    </cfRule>
  </conditionalFormatting>
  <conditionalFormatting sqref="C266:F273">
    <cfRule type="cellIs" dxfId="0" priority="38" operator="greaterThanOrEqual">
      <formula>160</formula>
    </cfRule>
  </conditionalFormatting>
  <conditionalFormatting sqref="C314:F325 C329:F340">
    <cfRule type="cellIs" dxfId="1" priority="39" operator="lessThan">
      <formula>140</formula>
    </cfRule>
  </conditionalFormatting>
  <conditionalFormatting sqref="C314:F325 C329:F340">
    <cfRule type="cellIs" dxfId="0" priority="40" operator="greaterThanOrEqual">
      <formula>140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92</v>
      </c>
      <c r="B1" s="58" t="s">
        <v>93</v>
      </c>
      <c r="C1" s="58" t="s">
        <v>94</v>
      </c>
      <c r="D1" s="58" t="s">
        <v>95</v>
      </c>
      <c r="E1" s="58" t="s">
        <v>96</v>
      </c>
    </row>
    <row r="2">
      <c r="A2" s="58" t="s">
        <v>97</v>
      </c>
      <c r="B2" s="58">
        <v>80.0</v>
      </c>
      <c r="C2" s="58">
        <v>80.0</v>
      </c>
      <c r="D2" s="58">
        <v>80.0</v>
      </c>
      <c r="E2" s="58">
        <v>80.0</v>
      </c>
    </row>
    <row r="3">
      <c r="A3" s="58" t="s">
        <v>98</v>
      </c>
      <c r="B3" s="58">
        <v>95.0</v>
      </c>
      <c r="C3" s="58">
        <v>95.0</v>
      </c>
      <c r="D3" s="58">
        <v>95.0</v>
      </c>
      <c r="E3" s="58">
        <v>95.0</v>
      </c>
    </row>
    <row r="4">
      <c r="A4" s="58" t="s">
        <v>99</v>
      </c>
      <c r="B4" s="59">
        <v>0.25</v>
      </c>
      <c r="C4" s="59">
        <f>(25+15)%</f>
        <v>0.4</v>
      </c>
      <c r="D4" s="59">
        <v>0.45</v>
      </c>
      <c r="E4" s="59">
        <f>(40+20)%</f>
        <v>0.6</v>
      </c>
    </row>
    <row r="5">
      <c r="A5" s="58" t="s">
        <v>100</v>
      </c>
      <c r="B5" s="60">
        <f t="shared" ref="B5:E5" si="1">(B2+20)/((B3+20)*(1-B4)+B2+20)</f>
        <v>0.5369127517</v>
      </c>
      <c r="C5" s="60">
        <f t="shared" si="1"/>
        <v>0.5917159763</v>
      </c>
      <c r="D5" s="60">
        <f t="shared" si="1"/>
        <v>0.6125574273</v>
      </c>
      <c r="E5" s="60">
        <f t="shared" si="1"/>
        <v>0.6849315068</v>
      </c>
    </row>
    <row r="6">
      <c r="B6" s="61"/>
    </row>
    <row r="7">
      <c r="A7" s="58" t="s">
        <v>101</v>
      </c>
      <c r="B7" s="58" t="s">
        <v>93</v>
      </c>
      <c r="C7" s="58" t="s">
        <v>102</v>
      </c>
      <c r="D7" s="58" t="s">
        <v>103</v>
      </c>
      <c r="E7" s="58" t="s">
        <v>104</v>
      </c>
    </row>
    <row r="8">
      <c r="A8" s="58" t="s">
        <v>97</v>
      </c>
      <c r="B8" s="58">
        <v>80.0</v>
      </c>
      <c r="C8" s="58">
        <v>80.0</v>
      </c>
      <c r="D8" s="58">
        <v>80.0</v>
      </c>
      <c r="E8" s="58">
        <v>80.0</v>
      </c>
    </row>
    <row r="9">
      <c r="A9" s="58" t="s">
        <v>98</v>
      </c>
      <c r="B9" s="58">
        <v>95.0</v>
      </c>
      <c r="C9" s="58">
        <v>95.0</v>
      </c>
      <c r="D9" s="58">
        <v>95.0</v>
      </c>
      <c r="E9" s="58">
        <v>95.0</v>
      </c>
    </row>
    <row r="10">
      <c r="A10" s="58" t="s">
        <v>99</v>
      </c>
      <c r="B10" s="59">
        <v>0.2</v>
      </c>
      <c r="C10" s="59">
        <f>(20+24)%</f>
        <v>0.44</v>
      </c>
      <c r="D10" s="59">
        <f>(45+20+8)%</f>
        <v>0.73</v>
      </c>
      <c r="E10" s="59">
        <f>(20+45+8+24)%</f>
        <v>0.97</v>
      </c>
    </row>
    <row r="11">
      <c r="A11" s="58" t="s">
        <v>100</v>
      </c>
      <c r="B11" s="60">
        <f t="shared" ref="B11:E11" si="2">(B8+20)/((B9+20)*(1-B10)+B8+20)</f>
        <v>0.5208333333</v>
      </c>
      <c r="C11" s="60">
        <f t="shared" si="2"/>
        <v>0.6082725061</v>
      </c>
      <c r="D11" s="60">
        <f t="shared" si="2"/>
        <v>0.7630675315</v>
      </c>
      <c r="E11" s="60">
        <f t="shared" si="2"/>
        <v>0.9666505558</v>
      </c>
    </row>
    <row r="13">
      <c r="A13" s="58" t="s">
        <v>105</v>
      </c>
      <c r="B13" s="58" t="s">
        <v>106</v>
      </c>
      <c r="C13" s="58" t="s">
        <v>107</v>
      </c>
      <c r="D13" s="58" t="s">
        <v>108</v>
      </c>
      <c r="E13" s="58" t="s">
        <v>109</v>
      </c>
    </row>
    <row r="14">
      <c r="A14" s="58" t="s">
        <v>97</v>
      </c>
      <c r="B14" s="58">
        <v>80.0</v>
      </c>
      <c r="C14" s="58">
        <v>80.0</v>
      </c>
      <c r="D14" s="58">
        <v>80.0</v>
      </c>
      <c r="E14" s="58">
        <v>80.0</v>
      </c>
    </row>
    <row r="15">
      <c r="A15" s="58" t="s">
        <v>98</v>
      </c>
      <c r="B15" s="58">
        <v>95.0</v>
      </c>
      <c r="C15" s="58">
        <v>95.0</v>
      </c>
      <c r="D15" s="58">
        <v>95.0</v>
      </c>
      <c r="E15" s="58">
        <v>95.0</v>
      </c>
    </row>
    <row r="16">
      <c r="A16" s="58" t="s">
        <v>99</v>
      </c>
      <c r="B16" s="59">
        <v>0.14</v>
      </c>
      <c r="C16" s="59">
        <f>(20+14)%</f>
        <v>0.34</v>
      </c>
      <c r="D16" s="59">
        <f>(14+10)%</f>
        <v>0.24</v>
      </c>
      <c r="E16" s="59">
        <f>(14+20+10)%</f>
        <v>0.44</v>
      </c>
    </row>
    <row r="17">
      <c r="A17" s="58" t="s">
        <v>100</v>
      </c>
      <c r="B17" s="60">
        <f t="shared" ref="B17:E17" si="3">(B14+20)/((B15+20)*(1-B16)+B14+20)</f>
        <v>0.5027652086</v>
      </c>
      <c r="C17" s="60">
        <f t="shared" si="3"/>
        <v>0.5685048323</v>
      </c>
      <c r="D17" s="60">
        <f t="shared" si="3"/>
        <v>0.5336179296</v>
      </c>
      <c r="E17" s="60">
        <f t="shared" si="3"/>
        <v>0.6082725061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110</v>
      </c>
      <c r="B1" s="58"/>
      <c r="C1" s="58"/>
      <c r="D1" s="58"/>
      <c r="E1" s="58"/>
      <c r="G1" s="62" t="s">
        <v>111</v>
      </c>
      <c r="H1" s="3"/>
    </row>
    <row r="2">
      <c r="B2" s="58" t="s">
        <v>112</v>
      </c>
      <c r="C2" s="58" t="s">
        <v>113</v>
      </c>
      <c r="D2" s="58" t="s">
        <v>114</v>
      </c>
      <c r="G2" s="63" t="s">
        <v>115</v>
      </c>
      <c r="H2" s="64">
        <f>2445</f>
        <v>2445</v>
      </c>
      <c r="W2" s="58">
        <v>15.0</v>
      </c>
      <c r="X2" s="58">
        <v>139.0</v>
      </c>
      <c r="Y2" s="65">
        <f t="shared" ref="Y2:Y4" si="1">SUM(W2:X2)</f>
        <v>154</v>
      </c>
    </row>
    <row r="3">
      <c r="B3" s="66">
        <v>523.0</v>
      </c>
      <c r="C3" s="67">
        <f>(43.2*IF(F17="Atk",3,2))+IF(D17="Fall of An Aeon",64,0)</f>
        <v>86.4</v>
      </c>
      <c r="D3" s="66">
        <v>13.0</v>
      </c>
      <c r="E3" s="68">
        <f>B3+B4+(B3+B4)*(SUM(C3:D4))%+352+21+33+38+21+35</f>
        <v>2492.006</v>
      </c>
      <c r="G3" s="69" t="s">
        <v>116</v>
      </c>
      <c r="H3" s="70">
        <f>(B7*(1+SUM(C7:C9)))+IF(F17="Spd",25,0)+D7</f>
        <v>165.04</v>
      </c>
      <c r="W3" s="58">
        <v>12.0</v>
      </c>
      <c r="X3" s="58">
        <v>69.0</v>
      </c>
      <c r="Y3" s="65">
        <f t="shared" si="1"/>
        <v>81</v>
      </c>
    </row>
    <row r="4">
      <c r="B4" s="66">
        <f>IFS(D17="Whereabouts Should Dreams Rest",476,D17="Fall of An Aeon",529,OR(D17="Indelible S5",D17="Indelible S1",D17="Whereabouts Should Dreams Rest S5"),476)</f>
        <v>476</v>
      </c>
      <c r="C4" s="71">
        <v>0.0</v>
      </c>
      <c r="G4" s="69" t="s">
        <v>117</v>
      </c>
      <c r="H4" s="70">
        <f>H3+60</f>
        <v>225.04</v>
      </c>
      <c r="W4" s="58">
        <v>4.0</v>
      </c>
      <c r="X4" s="58">
        <v>18.0</v>
      </c>
      <c r="Y4" s="65">
        <f t="shared" si="1"/>
        <v>22</v>
      </c>
    </row>
    <row r="5">
      <c r="G5" s="69" t="s">
        <v>118</v>
      </c>
      <c r="H5" s="72">
        <f>SUM(B12:E15)+IF(H19=TRUE,12,0)%</f>
        <v>5.28755</v>
      </c>
    </row>
    <row r="6">
      <c r="B6" s="58" t="s">
        <v>119</v>
      </c>
      <c r="C6" s="58" t="s">
        <v>113</v>
      </c>
      <c r="D6" s="58" t="s">
        <v>114</v>
      </c>
      <c r="G6" s="69" t="s">
        <v>120</v>
      </c>
      <c r="H6" s="73">
        <f>(68+IF(F19=TRUE,24,0))%</f>
        <v>0.92</v>
      </c>
    </row>
    <row r="7">
      <c r="B7" s="66">
        <v>104.0</v>
      </c>
      <c r="C7" s="74">
        <v>0.06</v>
      </c>
      <c r="D7" s="66">
        <f>5+14.4</f>
        <v>19.4</v>
      </c>
      <c r="G7" s="69" t="s">
        <v>121</v>
      </c>
      <c r="H7" s="73">
        <f>(IF(B18=TRUE,25,0))%</f>
        <v>0.25</v>
      </c>
    </row>
    <row r="8">
      <c r="C8" s="75">
        <f>IF(F18=TRUE,22,10)%</f>
        <v>0.1</v>
      </c>
      <c r="G8" s="69" t="s">
        <v>122</v>
      </c>
      <c r="H8" s="73">
        <f>IFS(AND(D18=TRUE,B17=TRUE),'DEF Reduction Sheet'!E4,D18=TRUE,'DEF Reduction Sheet'!D4,B17=TRUE,'DEF Reduction Sheet'!C4,AND(B17=FALSE,D18=FALSE),'DEF Reduction Sheet'!B4)</f>
        <v>0.6</v>
      </c>
    </row>
    <row r="9">
      <c r="C9" s="76">
        <f>IF(H19=TRUE,12,0)%</f>
        <v>0</v>
      </c>
      <c r="G9" s="77" t="s">
        <v>123</v>
      </c>
      <c r="H9" s="78">
        <f>(20+IFS(AND(D17="Whereabouts Should Dreams Rest",H29=TRUE),12+24,D17="Whereabouts Should Dreams Rest",24,AND(D17="Whereabouts Should Dreams Rest S5",H29=TRUE),12+40,H29=TRUE,12,D17="Whereabouts Should Dreams Rest S5",40,OR(D17&lt;&gt;"Whereabouts Should Dreams Rest",D17="Whereabouts Should Dreams Rest S5"),0))%</f>
        <v>0.6</v>
      </c>
    </row>
    <row r="10">
      <c r="G10" s="58" t="s">
        <v>124</v>
      </c>
      <c r="H10" s="58" t="s">
        <v>125</v>
      </c>
    </row>
    <row r="11">
      <c r="B11" s="58" t="s">
        <v>118</v>
      </c>
      <c r="C11" s="58" t="s">
        <v>126</v>
      </c>
      <c r="D11" s="58" t="s">
        <v>127</v>
      </c>
      <c r="E11" s="58" t="s">
        <v>114</v>
      </c>
      <c r="G11" s="66" t="s">
        <v>92</v>
      </c>
      <c r="H11" s="79">
        <f>H5</f>
        <v>5.28755</v>
      </c>
    </row>
    <row r="12">
      <c r="B12" s="80">
        <f>(37.3+IF(H2&gt;1800,ROUNDDOWN((H2-1800)/10)*0.8,0))%</f>
        <v>0.885</v>
      </c>
      <c r="C12" s="75">
        <v>0.2</v>
      </c>
      <c r="D12" s="81">
        <f>IF(B19=TRUE,33%,0)</f>
        <v>0.33</v>
      </c>
      <c r="E12" s="80">
        <f>(25.2+23.9+11.6+23.3)%</f>
        <v>0.84</v>
      </c>
      <c r="G12" s="82" t="s">
        <v>128</v>
      </c>
      <c r="H12" s="83">
        <f>(262.7+IF(F19=TRUE,4,0))%+IF(H19=TRUE,12,0)%</f>
        <v>2.667</v>
      </c>
      <c r="I12" s="79">
        <f>SUM(H12,D12,D13,C13,C12)</f>
        <v>4.02155</v>
      </c>
    </row>
    <row r="13">
      <c r="A13" s="58" t="s">
        <v>106</v>
      </c>
      <c r="B13" s="80">
        <f>(IFS(D17="Whereabouts Should Dreams Rest",60,D17="Fall of An Aeon",0,D17="Indelible S5",56,D17="Indelible S1",28,D17="Whereabouts Should Dreams Rest S5",100))%</f>
        <v>1</v>
      </c>
      <c r="C13" s="84">
        <f>((H12+D12+D13+C12)*15)%</f>
        <v>0.52455</v>
      </c>
      <c r="D13" s="81">
        <f>IF(D19=TRUE,30%,0)</f>
        <v>0.3</v>
      </c>
      <c r="E13" s="79"/>
      <c r="G13" s="85" t="s">
        <v>129</v>
      </c>
      <c r="H13" s="79">
        <f>(175%+SUM(C12:D13))+IF(H19=TRUE,12,0)%</f>
        <v>3.10455</v>
      </c>
    </row>
    <row r="14">
      <c r="A14" s="58" t="s">
        <v>130</v>
      </c>
      <c r="B14" s="80">
        <v>0.16</v>
      </c>
      <c r="C14" s="80">
        <v>0.4</v>
      </c>
      <c r="D14" s="79"/>
      <c r="E14" s="79"/>
      <c r="G14" s="86" t="s">
        <v>131</v>
      </c>
      <c r="H14" s="79">
        <f>(64.8%+13.3%+SUM(C12:D14,B14)+50%)+IF(H19=TRUE,72,0)%</f>
        <v>3.19555</v>
      </c>
    </row>
    <row r="15">
      <c r="A15" s="58" t="s">
        <v>132</v>
      </c>
      <c r="B15" s="80">
        <v>0.648</v>
      </c>
      <c r="C15" s="79"/>
      <c r="D15" s="79"/>
      <c r="E15" s="79"/>
    </row>
    <row r="17">
      <c r="A17" s="58" t="s">
        <v>133</v>
      </c>
      <c r="B17" s="58" t="b">
        <v>1</v>
      </c>
      <c r="C17" s="58" t="s">
        <v>134</v>
      </c>
      <c r="D17" s="58" t="s">
        <v>135</v>
      </c>
      <c r="E17" s="58" t="s">
        <v>136</v>
      </c>
      <c r="F17" s="58" t="s">
        <v>119</v>
      </c>
      <c r="G17" s="58" t="s">
        <v>137</v>
      </c>
      <c r="H17" s="58" t="b">
        <v>0</v>
      </c>
    </row>
    <row r="18">
      <c r="A18" s="58" t="s">
        <v>138</v>
      </c>
      <c r="B18" s="58" t="b">
        <v>1</v>
      </c>
      <c r="C18" s="58" t="s">
        <v>139</v>
      </c>
      <c r="D18" s="58" t="b">
        <v>1</v>
      </c>
      <c r="E18" s="58" t="s">
        <v>140</v>
      </c>
      <c r="F18" s="58" t="b">
        <v>0</v>
      </c>
    </row>
    <row r="19">
      <c r="A19" s="58" t="s">
        <v>141</v>
      </c>
      <c r="B19" s="58" t="b">
        <v>1</v>
      </c>
      <c r="C19" s="58" t="s">
        <v>142</v>
      </c>
      <c r="D19" s="58" t="b">
        <v>1</v>
      </c>
      <c r="E19" s="58" t="s">
        <v>143</v>
      </c>
      <c r="F19" s="58" t="b">
        <v>1</v>
      </c>
      <c r="G19" s="58" t="s">
        <v>144</v>
      </c>
      <c r="H19" s="58" t="b">
        <v>0</v>
      </c>
    </row>
    <row r="21">
      <c r="A21" s="87" t="str">
        <f>"Team Total DMG: " &amp; ROUNDDOWN(SUM(B24:E25))</f>
        <v>Team Total DMG: 749317</v>
      </c>
      <c r="B21" s="88"/>
      <c r="C21" s="89"/>
      <c r="D21" s="90"/>
      <c r="E21" s="90"/>
      <c r="F21" s="91"/>
      <c r="G21" s="92" t="s">
        <v>145</v>
      </c>
      <c r="H21" s="93"/>
    </row>
    <row r="22">
      <c r="A22" s="94" t="s">
        <v>146</v>
      </c>
      <c r="B22" s="95" t="s">
        <v>92</v>
      </c>
      <c r="C22" s="96" t="s">
        <v>128</v>
      </c>
      <c r="D22" s="97" t="s">
        <v>131</v>
      </c>
      <c r="E22" s="98" t="s">
        <v>129</v>
      </c>
      <c r="G22" s="58" t="s">
        <v>147</v>
      </c>
      <c r="H22" s="99">
        <v>80.0</v>
      </c>
    </row>
    <row r="23">
      <c r="A23" s="94" t="s">
        <v>148</v>
      </c>
      <c r="B23" s="100">
        <f>2*3767.5533*(0.5+(H27/120)*(1+H5)*(((H22+20)/((H26+20)*(1-H8)+(H22+20)))*(1-(IF(H31=TRUE,0,20)%+IF(H30=TRUE,20,0)%-H7))*(1+H9)))*0.9 + 
1*3767.5533*(0.5+(H27/120)*(1+H13)*((H23+20)/((H26+20)*(1-IF(D18=TRUE,20%,0))+(H23+20)))*(1-(IF(H34=TRUE,0,20)%-H7))*(1+IF(H29=TRUE,12%,0)))*1.2</f>
        <v>335685.229</v>
      </c>
      <c r="C23" s="101">
        <f>0.5*3767.5533*(0.5+(H27/120)*(1+I12)*(((H22+20)/((H26+20)*(1-IF(D18=TRUE,20%,0))+(H22+20)))*(1-(IF(H33=TRUE,0,20)%-H7))*(1+IF(H29=TRUE,12%,0))))*0.9 + 
1*3767.5533*(0.5+(H27/120)*(1+H13)*((H23+20)/((H26+20)*(1-IF(D18=TRUE,20%,0))+(H23+20)))*(1-(IF(H34=TRUE,0,20)%-H7))*(1+IF(H29=TRUE,12%,0)))*1.2</f>
        <v>86958.09885</v>
      </c>
      <c r="D23" s="102">
        <f>2*3767.5533*(0.5+(H27/120)*(1+H14)*(((H22+20)/((H26+20)*(1-IF(D18=TRUE,45,25)%)+(H22+20)))*(1-(IF(H31=TRUE,0,20)%-H7))*(1+12%)))*0.9 + 
1*3767.5533*(0.5+(H27/120)*(1+H14)*(((H22+20)/((H26+20)*(1-IF(D18=TRUE,45,25)%)+(H22+20)))*(1-(IF(H34=TRUE,0,20)%-H7))*(1+12%)))*1.2</f>
        <v>197036.0262</v>
      </c>
      <c r="E23" s="103">
        <f>1*3767.5533*(0.5+(H27/120)*(1+H13)*(((H24+20)/((H26+20)*(1-IF(D18=TRUE,20%,0))+(H24+20)))*(1-(IF(H34=TRUE,0,20)%-H7))*(1+IF(H29=TRUE,12%,0))))*0.9 +
1*3767.5533*(0.5+(H27/120)*(1+H13)*(((H24+20)/((H26+20)*(1-IF(D18=TRUE,20%,0))+(H24+20)))*(1-(IF(H34=TRUE,0,20)%-H7))*(1+IF(H29=TRUE,12%,0))))*1.2</f>
        <v>104545.0334</v>
      </c>
      <c r="G23" s="58" t="s">
        <v>149</v>
      </c>
      <c r="H23" s="104">
        <v>80.0</v>
      </c>
    </row>
    <row r="24">
      <c r="A24" s="94" t="s">
        <v>150</v>
      </c>
      <c r="B24" s="105">
        <f>(3767.5533*((90*IF(H17=TRUE,2.5,2))/30)*(1+H5)*(1+IFS(H28=1,60%,H28=2,50%,H28=3,40%,H28=4,30%,H28&gt;=5,20%))*(((H22+20)/((H26+20)*(1-H8)+(H22+20))))*(1-(IF(H31=TRUE,0,20)%+IF(H30=TRUE,20,0)%-H7-IF(H17=TRUE,20,0)%))*(1+H9)) + ((3767.5533*((90*IF(H17=TRUE,2.5,2))/30)*(1+H5)*(((H22+20)/((H26+20)*(1-H8)+(H22+20)))*(1-IF(H31=TRUE,0,20)%+IF(H30=TRUE,20,0)%-H7)*(1+H9)))*0.5)</f>
        <v>383595.0982</v>
      </c>
      <c r="C24" s="106">
        <f>3767.5533*(((60+(15*6))*1.5)/30)*(1+SUM(H12,D12,D13,C13))*(1+IFS(H28=1,60%,H28=2,50%,H28=3,40%,H28=4,30%,H28&gt;=5,20%))*(((H22+20)/((H26+20)*(1-IF(D18=TRUE,20%,0))+H22+20)))*(1-(IF(H33=TRUE,0,20)%-H7))*(1+IF(H29=TRUE,12%,0))</f>
        <v>150044.9885</v>
      </c>
      <c r="D24" s="107">
        <f>B30+B31</f>
        <v>192802.3607</v>
      </c>
      <c r="E24" s="108">
        <f>3767.5533*((30*1.5)/30)*(1+(((H12*100))+D13+D12+C12)%)*(1+IFS(H28=1,60%,H28=2,50%,H28=3,40%,H28=4,30%,H28&gt;=5,20%))*(((H24+20)/((H26+20)*(1-IF(D18=TRUE,20%,0))+H24+20)))*(1-(IF(H34=TRUE,0,20)%-H7))*(1+IF(H29=TRUE,12%,0))</f>
        <v>22874.81604</v>
      </c>
      <c r="G24" s="58" t="s">
        <v>151</v>
      </c>
      <c r="H24" s="109">
        <v>80.0</v>
      </c>
    </row>
    <row r="25">
      <c r="A25" s="110" t="s">
        <v>152</v>
      </c>
      <c r="B25" s="111">
        <f>IF(H28=1,0,(3767.5533*(45*IF(H17=TRUE,2.5,2)*IF(H32=TRUE,1,55%)/30)*(1+H5)*(1+IFS(H28=1,60%,H28=2,50%,H28=3,40%,H28=4,30%,H28&gt;=5,20%))*(((H22+20)/((H26+20)*(1-H8)+(H22+20))))*(1-(IF(H32=TRUE,0,20)%+IF(H30=TRUE,20,0)%-H7))*(1+H9)) + 
((3767.5533*(45*IF(H17=TRUE,2.5,2)*IF(H32=TRUE,1,55%)/30)*(1+H5)*(((H22+20)/((H26+20)*(1-H8)+(H22+20)))*(1-(IF(H32=TRUE,0,20)%+IF(H30=TRUE,20,0)%-H7))*(1+H9)))*0.5))</f>
        <v>0</v>
      </c>
      <c r="G25" s="58" t="s">
        <v>153</v>
      </c>
      <c r="H25" s="112">
        <v>80.0</v>
      </c>
    </row>
    <row r="26">
      <c r="A26" s="113"/>
      <c r="G26" s="58" t="s">
        <v>154</v>
      </c>
      <c r="H26" s="114">
        <v>82.0</v>
      </c>
    </row>
    <row r="27">
      <c r="A27" s="69" t="s">
        <v>155</v>
      </c>
      <c r="B27" s="79">
        <f>(B24-161766)/161766</f>
        <v>1.371296182</v>
      </c>
      <c r="G27" s="58" t="s">
        <v>156</v>
      </c>
      <c r="H27" s="115">
        <v>540.0</v>
      </c>
    </row>
    <row r="28">
      <c r="A28" s="113"/>
      <c r="G28" s="58" t="s">
        <v>157</v>
      </c>
      <c r="H28" s="115">
        <v>1.0</v>
      </c>
    </row>
    <row r="29">
      <c r="A29" s="116" t="s">
        <v>158</v>
      </c>
      <c r="G29" s="58" t="s">
        <v>159</v>
      </c>
      <c r="H29" s="115" t="b">
        <v>0</v>
      </c>
    </row>
    <row r="30">
      <c r="A30" s="117" t="s">
        <v>160</v>
      </c>
      <c r="B30" s="118">
        <f>(3767.5533*((60*1.7)/30)*(1+H14)*(1+IFS(H28=1,60%,H28=2,50%,H28=3,40%,H28=4,30%,H28&gt;=5,20%))*(((H22+20)/((H26+20)*(1-IF(D18=TRUE,45,25)%)+(H22+20))))*(1-(IF(H31=TRUE,0,20)%-H7))*(1+12%))</f>
        <v>77120.94428</v>
      </c>
      <c r="G30" s="58" t="s">
        <v>161</v>
      </c>
      <c r="H30" s="115" t="b">
        <v>0</v>
      </c>
    </row>
    <row r="31">
      <c r="A31" s="117" t="s">
        <v>162</v>
      </c>
      <c r="B31" s="118">
        <f>(3767.5533*((90*1.7)/30)*(1+H14)*(1+IFS(H28=1,60%,H28=2,50%,H28=3,40%,H28=4,30%,H28&gt;=5,20%))*(((H22+20)/((H26+20)*(1-IF(D18=TRUE,45,25)%)+(H22+20))))*(1-(IF(H31=TRUE,0,20)%-H7))*(1+12%))</f>
        <v>115681.4164</v>
      </c>
      <c r="G31" s="58" t="s">
        <v>163</v>
      </c>
      <c r="H31" s="115" t="b">
        <v>1</v>
      </c>
    </row>
    <row r="32">
      <c r="A32" s="119" t="s">
        <v>164</v>
      </c>
      <c r="B32" s="120"/>
      <c r="G32" s="58" t="s">
        <v>165</v>
      </c>
      <c r="H32" s="115" t="b">
        <v>0</v>
      </c>
    </row>
    <row r="33">
      <c r="A33" s="121" t="s">
        <v>166</v>
      </c>
      <c r="B33" s="122">
        <f>(H13*0.1)+10%</f>
        <v>0.410455</v>
      </c>
      <c r="G33" s="58" t="s">
        <v>167</v>
      </c>
      <c r="H33" s="115" t="b">
        <v>1</v>
      </c>
    </row>
    <row r="34">
      <c r="A34" s="123" t="s">
        <v>168</v>
      </c>
      <c r="B34" s="124">
        <f>1*3767.5533*(0.5+(H27/120)*(1+H13)*((H23+20)/((H26+20)*(1-IF(D18=TRUE,20%,0))+(H23+20)))*(1-(IF(H34=TRUE,0,20)%-H7))*(1+IF(H29=TRUE,12%,0)))*0.6</f>
        <v>29870.00954</v>
      </c>
      <c r="C34" s="125"/>
      <c r="D34" s="125"/>
      <c r="E34" s="125"/>
      <c r="F34" s="125"/>
      <c r="G34" s="126" t="s">
        <v>169</v>
      </c>
      <c r="H34" s="127" t="b">
        <v>1</v>
      </c>
    </row>
    <row r="38">
      <c r="B38" s="59"/>
    </row>
    <row r="42">
      <c r="A42" s="128"/>
    </row>
    <row r="101">
      <c r="K101" s="129" t="s">
        <v>170</v>
      </c>
      <c r="N101" s="130" t="s">
        <v>171</v>
      </c>
      <c r="O101" s="2"/>
      <c r="P101" s="2"/>
      <c r="Q101" s="2"/>
      <c r="R101" s="2"/>
      <c r="S101" s="2"/>
      <c r="T101" s="2"/>
      <c r="U101" s="2"/>
      <c r="V101" s="2"/>
      <c r="W101" s="3"/>
    </row>
    <row r="102">
      <c r="K102" s="131" t="s">
        <v>172</v>
      </c>
      <c r="N102" s="63" t="s">
        <v>106</v>
      </c>
      <c r="O102" s="132" t="s">
        <v>173</v>
      </c>
      <c r="P102" s="132" t="s">
        <v>174</v>
      </c>
      <c r="Q102" s="132" t="s">
        <v>175</v>
      </c>
      <c r="R102" s="133" t="s">
        <v>176</v>
      </c>
      <c r="S102" s="63" t="s">
        <v>106</v>
      </c>
      <c r="T102" s="132" t="s">
        <v>173</v>
      </c>
      <c r="U102" s="132" t="s">
        <v>174</v>
      </c>
      <c r="V102" s="132" t="s">
        <v>175</v>
      </c>
      <c r="W102" s="133" t="s">
        <v>176</v>
      </c>
    </row>
    <row r="103">
      <c r="N103" s="134" t="s">
        <v>177</v>
      </c>
      <c r="O103" s="2"/>
      <c r="P103" s="2"/>
      <c r="Q103" s="2"/>
      <c r="R103" s="2"/>
      <c r="S103" s="2"/>
      <c r="T103" s="2"/>
      <c r="U103" s="2"/>
      <c r="V103" s="2"/>
      <c r="W103" s="3"/>
    </row>
    <row r="104">
      <c r="N104" s="135" t="s">
        <v>178</v>
      </c>
      <c r="O104" s="2"/>
      <c r="P104" s="2"/>
      <c r="Q104" s="2"/>
      <c r="R104" s="2"/>
      <c r="S104" s="2"/>
      <c r="T104" s="2"/>
      <c r="U104" s="2"/>
      <c r="V104" s="2"/>
      <c r="W104" s="3"/>
    </row>
    <row r="105">
      <c r="N105" s="69" t="s">
        <v>179</v>
      </c>
      <c r="O105" s="136">
        <v>-21.78</v>
      </c>
      <c r="P105" s="136">
        <v>-30.68</v>
      </c>
      <c r="Q105" s="136">
        <v>-33.54</v>
      </c>
      <c r="R105" s="137">
        <v>-36.88</v>
      </c>
      <c r="S105" s="69" t="s">
        <v>179</v>
      </c>
      <c r="T105" s="136">
        <v>-6.88</v>
      </c>
      <c r="U105" s="136">
        <v>-17.82</v>
      </c>
      <c r="V105" s="136">
        <v>-21.22</v>
      </c>
      <c r="W105" s="137">
        <v>-25.17</v>
      </c>
    </row>
    <row r="106">
      <c r="N106" s="69" t="s">
        <v>133</v>
      </c>
      <c r="O106" s="136">
        <v>-18.82</v>
      </c>
      <c r="P106" s="136">
        <v>-28.13</v>
      </c>
      <c r="Q106" s="136">
        <v>-31.09</v>
      </c>
      <c r="R106" s="137">
        <v>-34.56</v>
      </c>
      <c r="S106" s="69" t="s">
        <v>133</v>
      </c>
      <c r="T106" s="136">
        <v>-3.4</v>
      </c>
      <c r="U106" s="136">
        <v>-14.81</v>
      </c>
      <c r="V106" s="136">
        <v>-18.33</v>
      </c>
      <c r="W106" s="137">
        <v>-22.44</v>
      </c>
    </row>
    <row r="107">
      <c r="N107" s="69" t="s">
        <v>139</v>
      </c>
      <c r="O107" s="136">
        <v>-17.7</v>
      </c>
      <c r="P107" s="136">
        <v>-27.16</v>
      </c>
      <c r="Q107" s="136">
        <v>-30.17</v>
      </c>
      <c r="R107" s="137">
        <v>-33.67</v>
      </c>
      <c r="S107" s="69" t="s">
        <v>139</v>
      </c>
      <c r="T107" s="136">
        <v>-2.07</v>
      </c>
      <c r="U107" s="136">
        <v>-13.67</v>
      </c>
      <c r="V107" s="136">
        <v>-17.24</v>
      </c>
      <c r="W107" s="137">
        <v>-21.39</v>
      </c>
    </row>
    <row r="108">
      <c r="N108" s="69" t="s">
        <v>180</v>
      </c>
      <c r="O108" s="136">
        <v>-13.8</v>
      </c>
      <c r="P108" s="136">
        <v>-23.79</v>
      </c>
      <c r="Q108" s="136">
        <v>-26.94</v>
      </c>
      <c r="R108" s="137">
        <v>-30.61</v>
      </c>
      <c r="S108" s="69" t="s">
        <v>180</v>
      </c>
      <c r="T108" s="136">
        <v>2.53</v>
      </c>
      <c r="U108" s="136">
        <v>-9.7</v>
      </c>
      <c r="V108" s="136">
        <v>-13.43</v>
      </c>
      <c r="W108" s="137">
        <v>-17.78</v>
      </c>
    </row>
    <row r="109">
      <c r="N109" s="69" t="s">
        <v>181</v>
      </c>
      <c r="O109" s="136">
        <v>-7.65</v>
      </c>
      <c r="P109" s="136">
        <v>-18.54</v>
      </c>
      <c r="Q109" s="58">
        <v>-21.69</v>
      </c>
      <c r="R109" s="137">
        <v>-25.36</v>
      </c>
      <c r="S109" s="69" t="s">
        <v>181</v>
      </c>
      <c r="T109" s="136">
        <v>9.84</v>
      </c>
      <c r="U109" s="136">
        <v>-3.48</v>
      </c>
      <c r="V109" s="136">
        <v>-7.21</v>
      </c>
      <c r="W109" s="137">
        <v>-11.56</v>
      </c>
    </row>
    <row r="110">
      <c r="N110" s="135" t="s">
        <v>182</v>
      </c>
      <c r="O110" s="2"/>
      <c r="P110" s="2"/>
      <c r="Q110" s="2"/>
      <c r="R110" s="2"/>
      <c r="S110" s="2"/>
      <c r="T110" s="2"/>
      <c r="U110" s="2"/>
      <c r="V110" s="2"/>
      <c r="W110" s="3"/>
    </row>
    <row r="111">
      <c r="N111" s="69" t="s">
        <v>179</v>
      </c>
      <c r="O111" s="136">
        <v>-16.14</v>
      </c>
      <c r="P111" s="136">
        <v>-24.83</v>
      </c>
      <c r="Q111" s="136">
        <v>-27.94</v>
      </c>
      <c r="R111" s="137">
        <v>-31.56</v>
      </c>
      <c r="S111" s="69" t="s">
        <v>179</v>
      </c>
      <c r="T111" s="136">
        <v>0.0</v>
      </c>
      <c r="U111" s="136">
        <v>-10.69</v>
      </c>
      <c r="V111" s="136">
        <v>-14.38</v>
      </c>
      <c r="W111" s="137">
        <v>-18.68</v>
      </c>
    </row>
    <row r="112">
      <c r="N112" s="69" t="s">
        <v>133</v>
      </c>
      <c r="O112" s="136">
        <v>-12.93</v>
      </c>
      <c r="P112" s="136">
        <v>-22.03</v>
      </c>
      <c r="Q112" s="136">
        <v>-25.25</v>
      </c>
      <c r="R112" s="137">
        <v>-29.0</v>
      </c>
      <c r="S112" s="69" t="s">
        <v>133</v>
      </c>
      <c r="T112" s="136">
        <v>3.78</v>
      </c>
      <c r="U112" s="136">
        <v>-7.38</v>
      </c>
      <c r="V112" s="136">
        <v>-11.21</v>
      </c>
      <c r="W112" s="137">
        <v>-15.67</v>
      </c>
    </row>
    <row r="113">
      <c r="K113" s="59"/>
      <c r="N113" s="69" t="s">
        <v>139</v>
      </c>
      <c r="O113" s="136">
        <v>-11.72</v>
      </c>
      <c r="P113" s="136">
        <v>-20.96</v>
      </c>
      <c r="Q113" s="136">
        <v>-24.23</v>
      </c>
      <c r="R113" s="137">
        <v>-28.03</v>
      </c>
      <c r="S113" s="69" t="s">
        <v>139</v>
      </c>
      <c r="T113" s="136">
        <v>5.21</v>
      </c>
      <c r="U113" s="136">
        <v>-6.13</v>
      </c>
      <c r="V113" s="136">
        <v>-10.0</v>
      </c>
      <c r="W113" s="137">
        <v>-14.53</v>
      </c>
    </row>
    <row r="114">
      <c r="N114" s="69" t="s">
        <v>180</v>
      </c>
      <c r="O114" s="136">
        <v>-7.49</v>
      </c>
      <c r="P114" s="136">
        <v>-17.26</v>
      </c>
      <c r="Q114" s="136">
        <v>-20.67</v>
      </c>
      <c r="R114" s="137">
        <v>-24.66</v>
      </c>
      <c r="S114" s="69" t="s">
        <v>180</v>
      </c>
      <c r="T114" s="136">
        <v>10.2</v>
      </c>
      <c r="U114" s="136">
        <v>-1.76</v>
      </c>
      <c r="V114" s="136">
        <v>-5.81</v>
      </c>
      <c r="W114" s="137">
        <v>-10.55</v>
      </c>
    </row>
    <row r="115">
      <c r="N115" s="77" t="s">
        <v>181</v>
      </c>
      <c r="O115" s="138">
        <v>-0.9</v>
      </c>
      <c r="P115" s="138">
        <v>-11.56</v>
      </c>
      <c r="Q115" s="138">
        <v>-14.98</v>
      </c>
      <c r="R115" s="139">
        <v>-18.97</v>
      </c>
      <c r="S115" s="77" t="s">
        <v>181</v>
      </c>
      <c r="T115" s="138">
        <v>18.05</v>
      </c>
      <c r="U115" s="138">
        <v>5.01</v>
      </c>
      <c r="V115" s="138">
        <v>0.95</v>
      </c>
      <c r="W115" s="139">
        <v>-3.78</v>
      </c>
    </row>
    <row r="116">
      <c r="K116" s="140"/>
      <c r="N116" s="134" t="s">
        <v>183</v>
      </c>
      <c r="O116" s="2"/>
      <c r="P116" s="2"/>
      <c r="Q116" s="2"/>
      <c r="R116" s="2"/>
      <c r="S116" s="2"/>
      <c r="T116" s="2"/>
      <c r="U116" s="2"/>
      <c r="V116" s="2"/>
      <c r="W116" s="3"/>
    </row>
    <row r="117">
      <c r="N117" s="135" t="s">
        <v>178</v>
      </c>
      <c r="O117" s="2"/>
      <c r="P117" s="2"/>
      <c r="Q117" s="2"/>
      <c r="R117" s="2"/>
      <c r="S117" s="2"/>
      <c r="T117" s="2"/>
      <c r="U117" s="2"/>
      <c r="V117" s="2"/>
      <c r="W117" s="3"/>
    </row>
    <row r="118">
      <c r="N118" s="69" t="s">
        <v>179</v>
      </c>
      <c r="O118" s="136">
        <v>-1.13</v>
      </c>
      <c r="P118" s="136">
        <v>-12.85</v>
      </c>
      <c r="Q118" s="136">
        <v>-16.45</v>
      </c>
      <c r="R118" s="137">
        <v>-20.65</v>
      </c>
      <c r="S118" s="69" t="s">
        <v>179</v>
      </c>
      <c r="T118" s="136">
        <v>13.77</v>
      </c>
      <c r="U118" s="136">
        <v>0.0</v>
      </c>
      <c r="V118" s="136">
        <v>-4.13</v>
      </c>
      <c r="W118" s="137">
        <v>-8.95</v>
      </c>
    </row>
    <row r="119">
      <c r="K119" s="79"/>
      <c r="M119" s="141"/>
      <c r="N119" s="69" t="s">
        <v>133</v>
      </c>
      <c r="O119" s="136">
        <v>2.7</v>
      </c>
      <c r="P119" s="136">
        <v>-9.55</v>
      </c>
      <c r="Q119" s="136">
        <v>-13.29</v>
      </c>
      <c r="R119" s="137">
        <v>-17.65</v>
      </c>
      <c r="S119" s="69" t="s">
        <v>133</v>
      </c>
      <c r="T119" s="136">
        <v>18.12</v>
      </c>
      <c r="U119" s="136">
        <v>3.76</v>
      </c>
      <c r="V119" s="136">
        <v>-0.52</v>
      </c>
      <c r="W119" s="137">
        <v>-5.52</v>
      </c>
    </row>
    <row r="120">
      <c r="M120" s="141"/>
      <c r="N120" s="69" t="s">
        <v>139</v>
      </c>
      <c r="O120" s="136">
        <v>4.15</v>
      </c>
      <c r="P120" s="136">
        <v>-8.3</v>
      </c>
      <c r="Q120" s="136">
        <v>-12.08</v>
      </c>
      <c r="R120" s="137">
        <v>-16.5</v>
      </c>
      <c r="S120" s="69" t="s">
        <v>139</v>
      </c>
      <c r="T120" s="136">
        <v>19.78</v>
      </c>
      <c r="U120" s="136">
        <v>5.19</v>
      </c>
      <c r="V120" s="136">
        <v>0.85</v>
      </c>
      <c r="W120" s="137">
        <v>-4.22</v>
      </c>
    </row>
    <row r="121">
      <c r="K121" s="79"/>
      <c r="N121" s="69" t="s">
        <v>180</v>
      </c>
      <c r="O121" s="136">
        <v>9.21</v>
      </c>
      <c r="P121" s="136">
        <v>-3.94</v>
      </c>
      <c r="Q121" s="136">
        <v>-7.9</v>
      </c>
      <c r="R121" s="137">
        <v>-12.53</v>
      </c>
      <c r="S121" s="69" t="s">
        <v>180</v>
      </c>
      <c r="T121" s="136">
        <v>25.53</v>
      </c>
      <c r="U121" s="136">
        <v>10.16</v>
      </c>
      <c r="V121" s="136">
        <v>5.61</v>
      </c>
      <c r="W121" s="137">
        <v>0.3</v>
      </c>
    </row>
    <row r="122">
      <c r="N122" s="69" t="s">
        <v>181</v>
      </c>
      <c r="O122" s="136">
        <v>16.99</v>
      </c>
      <c r="P122" s="136">
        <v>2.67</v>
      </c>
      <c r="Q122" s="136">
        <v>-1.29</v>
      </c>
      <c r="R122" s="137">
        <v>-5.92</v>
      </c>
      <c r="S122" s="69" t="s">
        <v>181</v>
      </c>
      <c r="T122" s="136">
        <v>34.48</v>
      </c>
      <c r="U122" s="136">
        <v>17.74</v>
      </c>
      <c r="V122" s="136">
        <v>13.19</v>
      </c>
      <c r="W122" s="137">
        <v>7.88</v>
      </c>
    </row>
    <row r="123">
      <c r="N123" s="135" t="s">
        <v>182</v>
      </c>
      <c r="O123" s="2"/>
      <c r="P123" s="2"/>
      <c r="Q123" s="2"/>
      <c r="R123" s="2"/>
      <c r="S123" s="2"/>
      <c r="T123" s="2"/>
      <c r="U123" s="2"/>
      <c r="V123" s="2"/>
      <c r="W123" s="3"/>
    </row>
    <row r="124">
      <c r="N124" s="69" t="s">
        <v>179</v>
      </c>
      <c r="O124" s="136">
        <v>6.24</v>
      </c>
      <c r="P124" s="136">
        <v>-5.23</v>
      </c>
      <c r="Q124" s="136">
        <v>-9.14</v>
      </c>
      <c r="R124" s="137">
        <v>-13.71</v>
      </c>
      <c r="S124" s="69" t="s">
        <v>179</v>
      </c>
      <c r="T124" s="136">
        <v>22.37</v>
      </c>
      <c r="U124" s="136">
        <v>8.91</v>
      </c>
      <c r="V124" s="136">
        <v>4.41</v>
      </c>
      <c r="W124" s="137">
        <v>-0.83</v>
      </c>
    </row>
    <row r="125">
      <c r="N125" s="69" t="s">
        <v>133</v>
      </c>
      <c r="O125" s="136">
        <v>10.38</v>
      </c>
      <c r="P125" s="136">
        <v>-1.6</v>
      </c>
      <c r="Q125" s="136">
        <v>-5.66</v>
      </c>
      <c r="R125" s="137">
        <v>-10.4</v>
      </c>
      <c r="S125" s="69" t="s">
        <v>133</v>
      </c>
      <c r="T125" s="136">
        <v>27.09</v>
      </c>
      <c r="U125" s="136">
        <v>13.05</v>
      </c>
      <c r="V125" s="136">
        <v>8.38</v>
      </c>
      <c r="W125" s="137">
        <v>2.93</v>
      </c>
    </row>
    <row r="126">
      <c r="N126" s="69" t="s">
        <v>139</v>
      </c>
      <c r="O126" s="136">
        <v>11.96</v>
      </c>
      <c r="P126" s="136">
        <v>-0.22</v>
      </c>
      <c r="Q126" s="136">
        <v>-4.34</v>
      </c>
      <c r="R126" s="137">
        <v>-9.14</v>
      </c>
      <c r="S126" s="69" t="s">
        <v>139</v>
      </c>
      <c r="T126" s="136">
        <v>28.89</v>
      </c>
      <c r="U126" s="136">
        <v>14.62</v>
      </c>
      <c r="V126" s="136">
        <v>9.89</v>
      </c>
      <c r="W126" s="137">
        <v>4.36</v>
      </c>
    </row>
    <row r="127">
      <c r="N127" s="69" t="s">
        <v>180</v>
      </c>
      <c r="O127" s="136">
        <v>17.43</v>
      </c>
      <c r="P127" s="136">
        <v>4.58</v>
      </c>
      <c r="Q127" s="136">
        <v>0.26</v>
      </c>
      <c r="R127" s="137">
        <v>-4.78</v>
      </c>
      <c r="S127" s="69" t="s">
        <v>180</v>
      </c>
      <c r="T127" s="136">
        <v>35.12</v>
      </c>
      <c r="U127" s="136">
        <v>20.08</v>
      </c>
      <c r="V127" s="136">
        <v>15.12</v>
      </c>
      <c r="W127" s="137">
        <v>9.34</v>
      </c>
    </row>
    <row r="128">
      <c r="N128" s="77" t="s">
        <v>181</v>
      </c>
      <c r="O128" s="138">
        <v>25.8</v>
      </c>
      <c r="P128" s="138">
        <v>11.78</v>
      </c>
      <c r="Q128" s="138">
        <v>7.46</v>
      </c>
      <c r="R128" s="139">
        <v>2.42</v>
      </c>
      <c r="S128" s="77" t="s">
        <v>181</v>
      </c>
      <c r="T128" s="138">
        <v>44.75</v>
      </c>
      <c r="U128" s="138">
        <v>28.35</v>
      </c>
      <c r="V128" s="138">
        <v>23.39</v>
      </c>
      <c r="W128" s="139">
        <v>17.6</v>
      </c>
    </row>
  </sheetData>
  <mergeCells count="12">
    <mergeCell ref="N104:W104"/>
    <mergeCell ref="N110:W110"/>
    <mergeCell ref="N116:W116"/>
    <mergeCell ref="N117:W117"/>
    <mergeCell ref="N123:W123"/>
    <mergeCell ref="G1:H1"/>
    <mergeCell ref="A21:B21"/>
    <mergeCell ref="A29:B29"/>
    <mergeCell ref="K101:M101"/>
    <mergeCell ref="N101:W101"/>
    <mergeCell ref="K102:M102"/>
    <mergeCell ref="N103:W103"/>
  </mergeCells>
  <conditionalFormatting sqref="O105:R109 T105:W109 O111:R115 T111:W115 O118:R122 T118:W122 O124:R128 T124:W128">
    <cfRule type="colorScale" priority="1">
      <colorScale>
        <cfvo type="min"/>
        <cfvo type="formula" val="0"/>
        <cfvo type="max"/>
        <color rgb="FFEA9999"/>
        <color rgb="FFFFFFFF"/>
        <color rgb="FF57BB8A"/>
      </colorScale>
    </cfRule>
  </conditionalFormatting>
  <dataValidations>
    <dataValidation type="list" allowBlank="1" showErrorMessage="1" sqref="D17">
      <formula1>"Whereabouts Should Dreams Rest,Whereabouts Should Dreams Rest S5,Fall of An Aeon,Indelible S5,Indelible S1"</formula1>
    </dataValidation>
    <dataValidation type="list" allowBlank="1" showErrorMessage="1" sqref="F17">
      <formula1>"Spd,Atk"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106</v>
      </c>
      <c r="B1" s="7" t="s">
        <v>184</v>
      </c>
      <c r="D1" s="58" t="s">
        <v>106</v>
      </c>
      <c r="E1" s="7" t="s">
        <v>185</v>
      </c>
      <c r="G1" s="58" t="s">
        <v>106</v>
      </c>
      <c r="H1" s="7" t="s">
        <v>186</v>
      </c>
    </row>
    <row r="2">
      <c r="A2" s="65"/>
      <c r="B2" s="58" t="s">
        <v>187</v>
      </c>
      <c r="C2" s="58">
        <f>3441</f>
        <v>3441</v>
      </c>
      <c r="D2" s="65"/>
      <c r="E2" s="58" t="s">
        <v>187</v>
      </c>
      <c r="F2" s="65">
        <f>SUM(B17:B18)+(SUM(B17:B18)*SUM(C17:C19)%)+352+21+59+C6</f>
        <v>3781.892</v>
      </c>
      <c r="G2" s="65"/>
      <c r="H2" s="58" t="s">
        <v>187</v>
      </c>
      <c r="I2" s="58">
        <v>3088.0</v>
      </c>
    </row>
    <row r="3">
      <c r="A3" s="58" t="s">
        <v>188</v>
      </c>
      <c r="B3" s="58" t="s">
        <v>189</v>
      </c>
      <c r="C3" s="58">
        <v>160.0</v>
      </c>
      <c r="D3" s="58" t="s">
        <v>188</v>
      </c>
      <c r="E3" s="58" t="s">
        <v>189</v>
      </c>
      <c r="F3" s="65">
        <f>B26*(1+C26)+D26</f>
        <v>154.32</v>
      </c>
      <c r="G3" s="58" t="s">
        <v>188</v>
      </c>
      <c r="H3" s="58" t="s">
        <v>189</v>
      </c>
      <c r="I3" s="58">
        <v>151.0</v>
      </c>
    </row>
    <row r="4">
      <c r="A4" s="58">
        <v>0.0</v>
      </c>
      <c r="B4" s="58" t="s">
        <v>190</v>
      </c>
      <c r="C4" s="83">
        <f>0%+C10+30%+38.8%</f>
        <v>1.188</v>
      </c>
      <c r="D4" s="58">
        <v>0.0</v>
      </c>
      <c r="E4" s="58" t="s">
        <v>191</v>
      </c>
      <c r="F4" s="65">
        <f>SUM(B22:D23)+11</f>
        <v>89.2</v>
      </c>
      <c r="G4" s="58">
        <v>0.0</v>
      </c>
      <c r="H4" s="58" t="s">
        <v>191</v>
      </c>
      <c r="I4" s="65">
        <f>24.9+60+20</f>
        <v>104.9</v>
      </c>
    </row>
    <row r="5">
      <c r="B5" s="7" t="s">
        <v>192</v>
      </c>
      <c r="E5" s="58" t="s">
        <v>193</v>
      </c>
      <c r="F5" s="65">
        <f>SUM(B29:D30)-22.6</f>
        <v>190.4</v>
      </c>
      <c r="H5" s="58" t="s">
        <v>193</v>
      </c>
      <c r="I5" s="79">
        <f>(178+25+50+30)%+C8</f>
        <v>3.03</v>
      </c>
    </row>
    <row r="6">
      <c r="B6" s="58" t="s">
        <v>194</v>
      </c>
      <c r="C6" s="65">
        <f>(C2*0.228)+200</f>
        <v>984.548</v>
      </c>
      <c r="E6" s="58" t="s">
        <v>195</v>
      </c>
      <c r="F6" s="65">
        <f>SUM(B33:D35)</f>
        <v>228.8</v>
      </c>
      <c r="H6" s="58" t="s">
        <v>196</v>
      </c>
      <c r="I6" s="79">
        <f>I5+C9</f>
        <v>3.28</v>
      </c>
    </row>
    <row r="7">
      <c r="B7" s="58" t="s">
        <v>197</v>
      </c>
      <c r="C7" s="128">
        <f>(120%*(C2+C6))*((80+20)/((82+20)*(1-0)+80+20))*(1+C4)*(1-(-C11))*(150%)</f>
        <v>8628.504081</v>
      </c>
      <c r="H7" s="58" t="s">
        <v>195</v>
      </c>
      <c r="I7" s="79">
        <f>38.8%+C10</f>
        <v>0.888</v>
      </c>
    </row>
    <row r="8">
      <c r="B8" s="58" t="s">
        <v>198</v>
      </c>
      <c r="C8" s="83">
        <v>0.2</v>
      </c>
    </row>
    <row r="9">
      <c r="B9" s="58" t="s">
        <v>199</v>
      </c>
      <c r="C9" s="83">
        <v>0.25</v>
      </c>
    </row>
    <row r="10">
      <c r="B10" s="58" t="s">
        <v>200</v>
      </c>
      <c r="C10" s="83">
        <v>0.5</v>
      </c>
    </row>
    <row r="11">
      <c r="B11" s="58" t="s">
        <v>201</v>
      </c>
      <c r="C11" s="59">
        <f>0%+IF(A4&gt;=1,24%,0%)</f>
        <v>0</v>
      </c>
    </row>
    <row r="12">
      <c r="B12" s="58" t="s">
        <v>202</v>
      </c>
      <c r="C12" s="59">
        <f>0%+IF(A4&gt;=2,16%,0%)</f>
        <v>0</v>
      </c>
    </row>
    <row r="16">
      <c r="A16" s="58" t="s">
        <v>203</v>
      </c>
    </row>
    <row r="17">
      <c r="A17" s="58" t="s">
        <v>112</v>
      </c>
      <c r="B17" s="58">
        <v>564.0</v>
      </c>
      <c r="C17" s="58">
        <v>12.0</v>
      </c>
    </row>
    <row r="18">
      <c r="B18" s="58">
        <v>582.0</v>
      </c>
      <c r="C18" s="65">
        <f>4.3+7.7+11.2+43.2</f>
        <v>66.4</v>
      </c>
    </row>
    <row r="19">
      <c r="C19" s="58">
        <v>28.0</v>
      </c>
    </row>
    <row r="21">
      <c r="A21" s="58" t="s">
        <v>191</v>
      </c>
    </row>
    <row r="22">
      <c r="B22" s="58">
        <f>5+32.4</f>
        <v>37.4</v>
      </c>
      <c r="C22" s="58">
        <v>8.0</v>
      </c>
      <c r="D22" s="65">
        <f>5.8+9</f>
        <v>14.8</v>
      </c>
    </row>
    <row r="23">
      <c r="C23" s="58">
        <v>18.0</v>
      </c>
    </row>
    <row r="25">
      <c r="A25" s="58" t="s">
        <v>189</v>
      </c>
    </row>
    <row r="26">
      <c r="B26" s="58">
        <v>102.0</v>
      </c>
      <c r="C26" s="59">
        <v>0.16</v>
      </c>
      <c r="D26" s="58">
        <f>25+9+2</f>
        <v>36</v>
      </c>
    </row>
    <row r="28">
      <c r="A28" s="58" t="s">
        <v>193</v>
      </c>
    </row>
    <row r="29">
      <c r="B29" s="65">
        <f>50</f>
        <v>50</v>
      </c>
      <c r="C29" s="142">
        <v>50.0</v>
      </c>
      <c r="D29" s="58">
        <f>22.6+5.1+12.3+17.4+11.6</f>
        <v>69</v>
      </c>
    </row>
    <row r="30">
      <c r="B30" s="58">
        <v>24.0</v>
      </c>
      <c r="C30" s="58">
        <v>20.0</v>
      </c>
    </row>
    <row r="32">
      <c r="A32" s="58" t="s">
        <v>190</v>
      </c>
    </row>
    <row r="33">
      <c r="B33" s="58">
        <v>38.8</v>
      </c>
      <c r="C33" s="58">
        <v>20.0</v>
      </c>
      <c r="D33" s="58">
        <v>50.0</v>
      </c>
    </row>
    <row r="34">
      <c r="B34" s="65">
        <f>6*5</f>
        <v>30</v>
      </c>
      <c r="C34" s="58">
        <v>10.0</v>
      </c>
    </row>
    <row r="35">
      <c r="B35" s="58">
        <v>80.0</v>
      </c>
    </row>
  </sheetData>
  <mergeCells count="4">
    <mergeCell ref="B1:C1"/>
    <mergeCell ref="E1:F1"/>
    <mergeCell ref="H1:I1"/>
    <mergeCell ref="B5:C5"/>
  </mergeCells>
  <dataValidations>
    <dataValidation type="list" allowBlank="1" showErrorMessage="1" sqref="A4 D4 G4">
      <formula1>"0,1,2,3,4,5,6"</formula1>
    </dataValidation>
    <dataValidation type="list" allowBlank="1" showErrorMessage="1" sqref="A2 D2 G2">
      <formula1>"Option 1,Option 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204</v>
      </c>
      <c r="F1" s="62" t="s">
        <v>205</v>
      </c>
      <c r="G1" s="3"/>
    </row>
    <row r="2">
      <c r="B2" s="58" t="s">
        <v>187</v>
      </c>
      <c r="C2" s="58" t="s">
        <v>113</v>
      </c>
      <c r="D2" s="58" t="s">
        <v>114</v>
      </c>
      <c r="F2" s="69" t="s">
        <v>115</v>
      </c>
      <c r="G2" s="143">
        <f>B3+B4+(B3+B4)*(SUM(C3:D5))%+352</f>
        <v>4837.962</v>
      </c>
    </row>
    <row r="3">
      <c r="B3" s="144">
        <v>640.0</v>
      </c>
      <c r="C3" s="145">
        <f>28+12</f>
        <v>40</v>
      </c>
      <c r="D3" s="144">
        <v>12.5</v>
      </c>
      <c r="F3" s="69" t="s">
        <v>119</v>
      </c>
      <c r="G3" s="70">
        <f>(B8*(1+(C8+C9)%)+D8)</f>
        <v>180.5</v>
      </c>
    </row>
    <row r="4">
      <c r="B4" s="144">
        <v>582.0</v>
      </c>
      <c r="C4" s="145">
        <f>43.2*IF(F23="Atk",3,2)</f>
        <v>129.6</v>
      </c>
      <c r="F4" s="69" t="s">
        <v>206</v>
      </c>
      <c r="G4" s="73">
        <f>SUM(B20:D21)%</f>
        <v>0.945</v>
      </c>
    </row>
    <row r="5">
      <c r="C5" s="142">
        <f>45+IF(D24=TRUE,40,0)</f>
        <v>85</v>
      </c>
      <c r="F5" s="69" t="s">
        <v>207</v>
      </c>
      <c r="G5" s="146">
        <f>SUM(D16,D17,C17,B16)%</f>
        <v>3.422</v>
      </c>
    </row>
    <row r="6">
      <c r="F6" s="69" t="s">
        <v>208</v>
      </c>
      <c r="G6" s="146">
        <f>SUM(G5,C16%)</f>
        <v>4.142</v>
      </c>
    </row>
    <row r="7">
      <c r="B7" s="58" t="s">
        <v>189</v>
      </c>
      <c r="C7" s="58" t="s">
        <v>113</v>
      </c>
      <c r="D7" s="58" t="s">
        <v>114</v>
      </c>
      <c r="F7" s="69" t="s">
        <v>195</v>
      </c>
      <c r="G7" s="146">
        <f>SUM(B12:D13)%</f>
        <v>2.22</v>
      </c>
    </row>
    <row r="8">
      <c r="B8" s="144">
        <v>115.0</v>
      </c>
      <c r="C8" s="147">
        <f>D23*25</f>
        <v>50</v>
      </c>
      <c r="D8" s="144">
        <v>8.0</v>
      </c>
      <c r="F8" s="69" t="s">
        <v>209</v>
      </c>
      <c r="G8" s="146">
        <f>G7+B13%</f>
        <v>2.58</v>
      </c>
    </row>
    <row r="9">
      <c r="C9" s="148">
        <f>IF(H24=TRUE,12,0)</f>
        <v>0</v>
      </c>
      <c r="F9" s="69" t="s">
        <v>210</v>
      </c>
      <c r="G9" s="146">
        <f>IF(F24=TRUE,'DEF Reduction Sheet'!E10,'DEF Reduction Sheet'!D10)</f>
        <v>0.97</v>
      </c>
    </row>
    <row r="10">
      <c r="F10" s="69" t="s">
        <v>211</v>
      </c>
      <c r="G10" s="149">
        <f>(33+IF(B23=TRUE,20,0))%</f>
        <v>0.53</v>
      </c>
    </row>
    <row r="11">
      <c r="B11" s="58" t="s">
        <v>195</v>
      </c>
      <c r="F11" s="77" t="s">
        <v>212</v>
      </c>
      <c r="G11" s="150">
        <f>IF(B26=TRUE, 12%,0)</f>
        <v>0.12</v>
      </c>
    </row>
    <row r="12">
      <c r="B12" s="147">
        <f>IF(B23=TRUE,10+18+80,10+18)</f>
        <v>108</v>
      </c>
      <c r="C12" s="151">
        <f>(16*3)</f>
        <v>48</v>
      </c>
      <c r="D12" s="152">
        <f>(10*B27)</f>
        <v>30</v>
      </c>
    </row>
    <row r="13">
      <c r="B13" s="147">
        <f>(6*6)+IF(F23="Qua",38.8,0)</f>
        <v>36</v>
      </c>
      <c r="C13" s="148">
        <f>IF(B24=TRUE,0,24)</f>
        <v>0</v>
      </c>
      <c r="D13" s="141"/>
      <c r="G13" s="58" t="s">
        <v>213</v>
      </c>
      <c r="H13" s="58" t="s">
        <v>214</v>
      </c>
    </row>
    <row r="14">
      <c r="B14" s="79"/>
      <c r="C14" s="79"/>
      <c r="D14" s="79"/>
      <c r="F14" s="58" t="s">
        <v>215</v>
      </c>
      <c r="G14" s="128">
        <f>(100%*G2)*(1+G7)*((80+20)/((95+20)*(1-G9)+80+20))*(1+G10)*(1+G11)</f>
        <v>25804.60901</v>
      </c>
      <c r="H14" s="128">
        <f>G14*(1+G5)</f>
        <v>114107.981</v>
      </c>
    </row>
    <row r="15">
      <c r="B15" s="58" t="s">
        <v>216</v>
      </c>
      <c r="F15" s="58" t="s">
        <v>217</v>
      </c>
      <c r="G15" s="128">
        <f>(220%*G2)*(1+G8)*((80+20)/((95+20)*(1-G9)+80+20))*(1+G10)*(1+G11)</f>
        <v>63117.11197</v>
      </c>
      <c r="H15" s="128">
        <f t="shared" ref="H15:H16" si="1">G15*(1+G5)</f>
        <v>279103.8691</v>
      </c>
    </row>
    <row r="16">
      <c r="B16" s="144">
        <v>191.2</v>
      </c>
      <c r="C16" s="153">
        <f>(12*6)</f>
        <v>72</v>
      </c>
      <c r="D16" s="154">
        <f>IF(AND(D25=TRUE,B25=TRUE),30,0)</f>
        <v>30</v>
      </c>
      <c r="F16" s="58" t="s">
        <v>160</v>
      </c>
      <c r="G16" s="128">
        <f>(425%*G2)*(1+G7)*((80+20)/((95+20)*(1-G9)+80+20))*(1+G10)*(1+G11)</f>
        <v>109669.5883</v>
      </c>
      <c r="H16" s="128">
        <f t="shared" si="1"/>
        <v>563921.023</v>
      </c>
    </row>
    <row r="17">
      <c r="B17" s="155"/>
      <c r="C17" s="156">
        <f>((200*0.24)+45)</f>
        <v>93</v>
      </c>
      <c r="D17" s="142">
        <f>IF(B24=TRUE,28,0)</f>
        <v>28</v>
      </c>
    </row>
    <row r="19">
      <c r="B19" s="58" t="s">
        <v>218</v>
      </c>
    </row>
    <row r="20">
      <c r="B20" s="144">
        <v>72.5</v>
      </c>
      <c r="C20" s="157">
        <f>IF(B25=TRUE,12,0)</f>
        <v>12</v>
      </c>
    </row>
    <row r="21">
      <c r="C21" s="148">
        <f>IF(B24=TRUE,10,0)</f>
        <v>10</v>
      </c>
    </row>
    <row r="23">
      <c r="A23" s="58" t="s">
        <v>219</v>
      </c>
      <c r="B23" s="58" t="b">
        <v>1</v>
      </c>
      <c r="C23" s="58" t="s">
        <v>220</v>
      </c>
      <c r="D23" s="58">
        <v>2.0</v>
      </c>
      <c r="E23" s="58" t="s">
        <v>221</v>
      </c>
      <c r="F23" s="58" t="s">
        <v>112</v>
      </c>
    </row>
    <row r="24">
      <c r="A24" s="58" t="s">
        <v>222</v>
      </c>
      <c r="B24" s="58" t="b">
        <v>1</v>
      </c>
      <c r="C24" s="58" t="s">
        <v>223</v>
      </c>
      <c r="D24" s="58" t="b">
        <v>1</v>
      </c>
      <c r="E24" s="58" t="s">
        <v>102</v>
      </c>
      <c r="F24" s="58" t="b">
        <v>1</v>
      </c>
      <c r="G24" s="58" t="s">
        <v>140</v>
      </c>
      <c r="H24" s="58" t="b">
        <v>0</v>
      </c>
    </row>
    <row r="25">
      <c r="A25" s="58" t="s">
        <v>224</v>
      </c>
      <c r="B25" s="58" t="b">
        <v>1</v>
      </c>
      <c r="C25" s="58" t="s">
        <v>225</v>
      </c>
      <c r="D25" s="58" t="b">
        <v>1</v>
      </c>
    </row>
    <row r="26">
      <c r="A26" s="58" t="s">
        <v>226</v>
      </c>
      <c r="B26" s="58" t="b">
        <v>1</v>
      </c>
    </row>
    <row r="27">
      <c r="A27" s="58" t="s">
        <v>227</v>
      </c>
      <c r="B27" s="58">
        <v>3.0</v>
      </c>
    </row>
  </sheetData>
  <mergeCells count="1">
    <mergeCell ref="F1:G1"/>
  </mergeCells>
  <dataValidations>
    <dataValidation type="list" allowBlank="1" showErrorMessage="1" sqref="F23">
      <formula1>"Qua,Atk"</formula1>
    </dataValidation>
    <dataValidation type="list" allowBlank="1" showErrorMessage="1" sqref="D23">
      <formula1>"1,2"</formula1>
    </dataValidation>
    <dataValidation type="list" allowBlank="1" showErrorMessage="1" sqref="B27">
      <formula1>"1,2,3"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3" t="s">
        <v>228</v>
      </c>
      <c r="B1" s="92" t="s">
        <v>229</v>
      </c>
      <c r="C1" s="92" t="s">
        <v>230</v>
      </c>
      <c r="D1" s="92" t="s">
        <v>231</v>
      </c>
      <c r="E1" s="158" t="s">
        <v>232</v>
      </c>
      <c r="G1" s="58" t="s">
        <v>233</v>
      </c>
      <c r="H1" s="58" t="s">
        <v>234</v>
      </c>
      <c r="I1" s="58" t="s">
        <v>235</v>
      </c>
      <c r="K1" s="58" t="s">
        <v>236</v>
      </c>
      <c r="M1" s="58" t="s">
        <v>237</v>
      </c>
      <c r="N1" s="58" t="s">
        <v>168</v>
      </c>
      <c r="O1" s="58" t="s">
        <v>112</v>
      </c>
      <c r="P1" s="58" t="s">
        <v>238</v>
      </c>
    </row>
    <row r="2">
      <c r="A2" s="69" t="s">
        <v>239</v>
      </c>
      <c r="B2" s="79">
        <f>0%+IF(B6="Resolution Shines as Pearls of Sweat S5", 16%,0)</f>
        <v>0</v>
      </c>
      <c r="C2" s="83">
        <f t="shared" ref="C2:C3" si="1">0%</f>
        <v>0</v>
      </c>
      <c r="D2" s="79">
        <f>(15+(5*5))%+IF(B6="Those Many Springs S1", 24%, 0)+IF(B6="Incessant Rain S1", 12%,0)</f>
        <v>0.64</v>
      </c>
      <c r="E2" s="146">
        <f>15%</f>
        <v>0.15</v>
      </c>
      <c r="G2" s="58" t="s">
        <v>112</v>
      </c>
      <c r="H2" s="65">
        <f>1333+2614+IFS(L2=TRUE,(1333*O2),L3=TRUE,(1333*O3),L4=TRUE,(1333*O4),L5=TRUE,O5,L2=FALSE,0)</f>
        <v>3947</v>
      </c>
      <c r="I2" s="65">
        <f>1333+2286+IFS(L2=TRUE,(1333*O2),L3=TRUE,(1333*O3),L4=TRUE,(1333*O4),L5=TRUE,O5,L2=FALSE,0)</f>
        <v>3619</v>
      </c>
      <c r="K2" s="58" t="s">
        <v>240</v>
      </c>
      <c r="L2" s="58" t="b">
        <v>0</v>
      </c>
      <c r="M2" s="79">
        <f>((200*0.16)+20)%</f>
        <v>0.52</v>
      </c>
      <c r="N2" s="83">
        <v>0.76</v>
      </c>
      <c r="O2" s="83">
        <v>0.55</v>
      </c>
      <c r="P2" s="83">
        <v>0.0</v>
      </c>
    </row>
    <row r="3">
      <c r="A3" s="69" t="s">
        <v>241</v>
      </c>
      <c r="B3" s="79">
        <f>42%+IF(B7="Resolution Shines as Pearls of Sweat S5", 16%,0)</f>
        <v>0.58</v>
      </c>
      <c r="C3" s="83">
        <f t="shared" si="1"/>
        <v>0</v>
      </c>
      <c r="D3" s="79">
        <f t="shared" ref="D3:D4" si="2">0%+IF(B7="Those Many Springs S1", 18%, 0)+IF(B7="Incessant Rain S1", 12%,0)</f>
        <v>0</v>
      </c>
      <c r="E3" s="146">
        <f t="shared" ref="E3:E4" si="3">0%</f>
        <v>0</v>
      </c>
      <c r="G3" s="58" t="s">
        <v>242</v>
      </c>
      <c r="H3" s="79">
        <f>(59.2+4+12)%</f>
        <v>0.752</v>
      </c>
      <c r="I3" s="83">
        <f>(42+8+12)%</f>
        <v>0.62</v>
      </c>
      <c r="K3" s="58" t="s">
        <v>243</v>
      </c>
      <c r="L3" s="58" t="b">
        <v>0</v>
      </c>
      <c r="M3" s="79">
        <f>((200*0.24)+45)%</f>
        <v>0.93</v>
      </c>
      <c r="N3" s="83">
        <v>0.48</v>
      </c>
      <c r="O3" s="83">
        <v>0.2</v>
      </c>
      <c r="P3" s="83">
        <v>0.0</v>
      </c>
    </row>
    <row r="4">
      <c r="A4" s="77" t="s">
        <v>244</v>
      </c>
      <c r="B4" s="79">
        <f>(45+8)%+IF(B8="Resolution Shines as Pearls of Sweat S5", 16%,0)</f>
        <v>0.53</v>
      </c>
      <c r="C4" s="159">
        <f>(20+10+3)%</f>
        <v>0.33</v>
      </c>
      <c r="D4" s="79">
        <f t="shared" si="2"/>
        <v>0.12</v>
      </c>
      <c r="E4" s="150">
        <f t="shared" si="3"/>
        <v>0</v>
      </c>
      <c r="G4" s="58" t="s">
        <v>237</v>
      </c>
      <c r="H4" s="79">
        <f>(198+24)%+IFS(L2=TRUE,M2,L3=TRUE,M3,L4=TRUE,M4,L5=TRUE,M5,L2=FALSE,0)</f>
        <v>2.22</v>
      </c>
      <c r="I4" s="79">
        <f>(224.6+24)%+IFS(L2=TRUE,M2,L3=TRUE,M3,L4=TRUE,M4,L5=TRUE,M5,L2=FALSE,0)</f>
        <v>2.486</v>
      </c>
      <c r="K4" s="58" t="s">
        <v>129</v>
      </c>
      <c r="L4" s="58" t="b">
        <v>0</v>
      </c>
      <c r="M4" s="83">
        <v>0.0</v>
      </c>
      <c r="N4" s="83">
        <v>0.68</v>
      </c>
      <c r="O4" s="83">
        <v>0.0</v>
      </c>
      <c r="P4" s="83">
        <v>0.25</v>
      </c>
    </row>
    <row r="5">
      <c r="A5" s="63" t="s">
        <v>245</v>
      </c>
      <c r="B5" s="92"/>
      <c r="C5" s="92"/>
      <c r="D5" s="92"/>
      <c r="E5" s="93"/>
      <c r="G5" s="58" t="s">
        <v>246</v>
      </c>
      <c r="H5" s="79">
        <f>IFS(H8=1,115%,H8=2,160%)+12%+48%+IFS(L2=TRUE,N2,L3=TRUE,N3,L4=TRUE,N4,L5=TRUE,N5,L2=FALSE,0)</f>
        <v>2.2</v>
      </c>
      <c r="I5" s="79">
        <f>160%+12%+48%+38.8%+IFS(L2=TRUE,N2,L3=TRUE,N3,L4=TRUE,N4,L5=TRUE,N5,L2=FALSE,0)</f>
        <v>2.588</v>
      </c>
      <c r="K5" s="58" t="s">
        <v>247</v>
      </c>
      <c r="L5" s="58" t="b">
        <v>0</v>
      </c>
      <c r="M5" s="83">
        <v>0.2</v>
      </c>
      <c r="N5" s="83">
        <v>0.5</v>
      </c>
      <c r="O5" s="58">
        <v>1000.0</v>
      </c>
      <c r="P5" s="83">
        <v>0.0</v>
      </c>
    </row>
    <row r="6">
      <c r="A6" s="69" t="s">
        <v>239</v>
      </c>
      <c r="B6" s="58" t="s">
        <v>248</v>
      </c>
      <c r="E6" s="160"/>
      <c r="G6" s="58" t="s">
        <v>230</v>
      </c>
      <c r="H6" s="83">
        <f>20%+IFS(L2=TRUE,P2,L3=TRUE,P3,L4=TRUE,P4,L5=TRUE,P5,L2=FALSE,0)</f>
        <v>0.2</v>
      </c>
      <c r="I6" s="83">
        <f>42%+IFS(L2=TRUE,P2,L3=TRUE,P3,L4=TRUE,P4,L5=TRUE,P5,L2=FALSE,0)</f>
        <v>0.42</v>
      </c>
      <c r="K6" s="58" t="s">
        <v>249</v>
      </c>
      <c r="L6" s="58" t="b">
        <v>0</v>
      </c>
    </row>
    <row r="7">
      <c r="A7" s="69" t="s">
        <v>241</v>
      </c>
      <c r="B7" s="58" t="s">
        <v>250</v>
      </c>
      <c r="E7" s="160"/>
      <c r="G7" s="58" t="s">
        <v>232</v>
      </c>
      <c r="H7" s="59">
        <v>0.0</v>
      </c>
      <c r="I7" s="59">
        <v>0.08</v>
      </c>
    </row>
    <row r="8">
      <c r="A8" s="77" t="s">
        <v>244</v>
      </c>
      <c r="B8" s="126" t="s">
        <v>251</v>
      </c>
      <c r="C8" s="161"/>
      <c r="D8" s="161"/>
      <c r="E8" s="162"/>
      <c r="G8" s="58" t="s">
        <v>252</v>
      </c>
      <c r="H8" s="58">
        <v>2.0</v>
      </c>
    </row>
    <row r="10">
      <c r="A10" s="163" t="s">
        <v>253</v>
      </c>
      <c r="B10" s="164">
        <v>5.0</v>
      </c>
    </row>
    <row r="11">
      <c r="A11" s="63" t="s">
        <v>234</v>
      </c>
      <c r="B11" s="92" t="s">
        <v>254</v>
      </c>
      <c r="C11" s="92" t="s">
        <v>255</v>
      </c>
      <c r="D11" s="158" t="s">
        <v>256</v>
      </c>
      <c r="E11" s="63" t="s">
        <v>103</v>
      </c>
      <c r="F11" s="92" t="s">
        <v>257</v>
      </c>
      <c r="G11" s="158" t="s">
        <v>241</v>
      </c>
    </row>
    <row r="12">
      <c r="A12" s="69" t="s">
        <v>258</v>
      </c>
      <c r="D12" s="70"/>
      <c r="E12" s="165"/>
      <c r="F12" s="128"/>
      <c r="G12" s="166"/>
    </row>
    <row r="13">
      <c r="A13" s="69" t="s">
        <v>259</v>
      </c>
      <c r="B13" s="128">
        <f>((((24+15+20)%*H2)*(1+H5+30%))+(((24+15+40)%*H2)*(1+H5+60%))+(((24+15+60)%*H2)*(1+H5+90%))+(((120)%*H2)*(1+H5+90%)))*(B10-1)*((80+20)/((95+20)*(1-(B3))+80+20))*(1+H6+C3)*(1+D3+E3+H7)</f>
        <v>179440.2546</v>
      </c>
      <c r="C13" s="128">
        <f>((((24+15+20)%*H2)*(1+H5+IF(L6=TRUE,48%,0)+30%))+(((24+15+40)%*H2)*(1+H5+IF(L6=TRUE,48%,0)+60%))+(((24+15+60)%*H2)*(1+H5+IF(L6=TRUE,48%,0)+90%))+(((120)%*H2)*(1+H5+IF(L6=TRUE,48%,0)+90%)))*(B10-1)*((80+20)/((95+20)*(1-(B2))+80+20))*(1+H6+C2)*(1+D2+E2+H7)</f>
        <v>221551.9613</v>
      </c>
      <c r="D13" s="166">
        <f>((((24+15+20)%*H2)*(1+H5+IF(L6=TRUE,48%,0)+30%))+(((24+15+40)%*H2)*(1+H5+IF(L6=TRUE,48%,0)+60%))+(((24+15+60)%*H2)*(1+H5+IF(L6=TRUE,48%,0)+90%))+(((120)%*H2)*(1+H5+IF(L6=TRUE,48%,0)+90%)))*(B10-1)*((80+20)/((95+20)*(1-(B2+B3))+80+20))*(1+H6+C2+C3)*(1+D2+D3+E2+E3+H7)</f>
        <v>321198.0558</v>
      </c>
      <c r="E13" s="165">
        <f>((((24+15+20)%*H2)*(1+H5+30%))+(((24+15+40)%*H2)*(1+H5+60%))+(((24+15+60)%*H2)*(1+H5+90%))+(((120)%*H2)*(1+H5+90%)))*(B10-1)*((80+20)/((95+20)*(1)+80+20))*(1+H6)*(1+H7)</f>
        <v>123772.0454</v>
      </c>
      <c r="F13" s="128">
        <f>((((24+15+20)%*H2)*(1+H5+IF(L6=TRUE,48%,0)+30%))+(((24+15+40)%*H2)*(1+H5+IF(L6=TRUE,48%,0)+60%))+(((24+15+60)%*H2)*(1+H5+IF(L6=TRUE,48%,0)+90%))+(((120)%*H2)*(1+H5+IF(L6=TRUE,48%,0)+90%)))*(B10-1)*((80+20)/((95+20)*(1-(B2))+80+20))*(1+H6+C2)*(1+D2+E2+H7)</f>
        <v>221551.9613</v>
      </c>
      <c r="G13" s="166">
        <f>((((24+15+20)%*H2)*(1+H5+30%))+(((24+15+40)%*H2)*(1+H5+60%))+(((24+15+60)%*H2)*(1+H5+90%))+(((120)%*H2)*(1+H5+90%)))*(B10-1)*((80+20)/((95+20)*(1-(B3))+80+20))*(1+H6+C3)*(1+D3+E3+H7)</f>
        <v>179440.2546</v>
      </c>
    </row>
    <row r="14">
      <c r="A14" s="69" t="s">
        <v>260</v>
      </c>
      <c r="B14" s="128">
        <f>((((24+15+20)%*H2)*(1+H5+30%))+(((24+15+40)%*H2)*(1+H5+60%))+(((24+15+60)%*H2)*(1+H5+90%))+(((120)%*H2)*(1+H5+90%)))*((80+20)/((95+20)*(1-(B4+B3))+80+20))*(1+H6+C3+C4)*(1+D3+D4+E3+E4+H7) +
((25)%*H2)*(1+H5+90%)*((80+20)/((95+20)*(1-(B4+B3))+80+20))*(1+H6+C3+C4)*(1+D3+D4+E3+E4+H7)*6</f>
        <v>156379.2164</v>
      </c>
      <c r="C14" s="128">
        <f>((((24+15+20)%*H2)*(1+H5+IF(L6=TRUE,48%,0)+30%))+(((24+15+40)%*H2)*(1+H5+IF(L6=TRUE,48%,0)+60%))+(((24+15+60)%*H2)*(1+H5+IF(L6=TRUE,48%,0)+90%))+(((120)%*H2)*(1+H5+IF(L6=TRUE,48%,0)+90%)))*((80+20)/((95+20)*(1-(B4+B2))+80+20))*(1+H6+C2+C4)*(1+D2+D4+E2+E4+H7) +
((25)%*H2)*(1+H5+IF(L6=TRUE,48%,0)+90%)*((80+20)/((95+20)*(1-(B4+B2))+80+20))*(1+H6+C2+C4)*(1+D2+D4+E2+E4+H7)*6</f>
        <v>151215.2472</v>
      </c>
      <c r="D14" s="166">
        <f>((((24+15+20)%*H2)*(1+H5+IF(L6=TRUE,48%,0)+30%))+(((24+15+40)%*H2)*(1+H5+IF(L6=TRUE,48%,0)+60%))+(((24+15+60)%*H2)*(1+H5+IF(L6=TRUE,48%,0)+90%))+(((120)%*H2)*(1+H5+IF(L6=TRUE,48%,0)+90%)))*((80+20)/((95+20)*(1-(B3+B2))+80+20))*(1+H6+C2+C3)*(1+D2+D3+E2+E3+H7) +
((25)%*H2)*(1+H5+90%)*((80+20)/((95+20)*(1-(B3+B2))+80+20))*(1+H6+C2+C3)*(1+D2+D3+E2+E3+H7)*6</f>
        <v>115458.4212</v>
      </c>
      <c r="E14" s="165">
        <f>((((24+15+20)%*H2)*(1+H5+30%))+(((24+15+40)%*H2)*(1+H5+60%))+(((24+15+60)%*H2)*(1+H5+90%))+(((120)%*H2)*(1+H5+90%)))*((80+20)/((95+20)*(1-(B4))+80+20))*(1+H6+C4)*(1+D4+E4+H7) +
((25)%*H2)*(1+H5+90%)*((80+20)/((95+20)*(1-(B4))+80+20))*(1+H6+C4)*(1+D4+E4+H7)*6</f>
        <v>88670.72088</v>
      </c>
      <c r="F14" s="128">
        <f>((((24+15+20)%*H2)*(1+H5+IF(L6=TRUE,48%,0)+30%))+(((24+15+40)%*H2)*(1+H5+IF(L6=TRUE,48%,0)+60%))+(((24+15+60)%*H2)*(1+H5+IF(L6=TRUE,48%,0)+90%))+(((120)%*H2)*(1+H5+IF(L6=TRUE,48%,0)+90%)))*((80+20)/((95+20)*(1-(B2))+80+20))*(1+H6+C2)*(1+D2+E2+H7) +
((25)%*H2)*(1+H5+IF(L6=TRUE,48%,0)+90%)*((80+20)/((95+20)*(1-(B2))+80+20))*(1+H6+C2)*(1+D2+E2+H7)*6</f>
        <v>79639.4598</v>
      </c>
      <c r="G14" s="166">
        <f>((((24+15+20)%*H2)*(1+H5+30%))+(((24+15+40)%*H2)*(1+H5+60%))+(((24+15+60)%*H2)*(1+H5+90%))+(((120)%*H2)*(1+H5+90%)))*((80+20)/((95+20)*(1-(B3))+80+20))*(1+H6+C3)*(1+D3+E3+H7) +
((25)%*H2)*(1+H5+90%)*((80+20)/((95+20)*(1-(B3))+80+20))*(1+H6+C3)*(1+D3+E3+H7)*6</f>
        <v>64501.91126</v>
      </c>
    </row>
    <row r="15">
      <c r="A15" s="69" t="s">
        <v>214</v>
      </c>
      <c r="D15" s="70"/>
      <c r="E15" s="165"/>
      <c r="F15" s="128"/>
      <c r="G15" s="166"/>
    </row>
    <row r="16">
      <c r="A16" s="69" t="s">
        <v>259</v>
      </c>
      <c r="B16" s="128">
        <f>((((24+15+20)%*H2)*(1+H5+30%))+(((24+15+40)%*H2)*(1+H5+60%))+(((24+15+60)%*H2)*(1+H5+90%))+(((120)%*H2)*(1+H5+90%)))*(B10-1)*((80+20)/((95+20)*(1-(B3))+80+20))*(1+H6+C3)*(1+D3+E3+H7)*(1+H4)</f>
        <v>577797.6199</v>
      </c>
      <c r="C16" s="128">
        <f>C13*(1+H4)</f>
        <v>713397.3152</v>
      </c>
      <c r="D16" s="166">
        <f>D13*(1+H4)</f>
        <v>1034257.74</v>
      </c>
      <c r="E16" s="165">
        <f>E13*(1+H4)</f>
        <v>398545.9862</v>
      </c>
      <c r="F16" s="128">
        <f>F13*(1+H4)</f>
        <v>713397.3152</v>
      </c>
      <c r="G16" s="166">
        <f>G13*(1+H4)</f>
        <v>577797.6199</v>
      </c>
    </row>
    <row r="17">
      <c r="A17" s="77" t="s">
        <v>260</v>
      </c>
      <c r="B17" s="167">
        <f>((((24+15+20)%*H2)*(1+H5+30%))+(((24+15+40)%*H2)*(1+H5+60%))+(((24+15+60)%*H2)*(1+H5+90%))+(((120)%*H2)*(1+H5+90%)))*((80+20)/((95+20)*(1-(B4+B3))+80+20))*(1+H6+C3+C4)*(1+D3+D4+E3+E4+H7)*(1+H4) +
((25)%*H2)*(1+H5+90%)*((80+20)/((95+20)*(1-(B4+B3))+80+20))*(1+H6+C3+C4)*(1+D3+D4+E3+E4+H7)*(1+H4)*6</f>
        <v>503541.0768</v>
      </c>
      <c r="C17" s="167">
        <f>C14*(1+H4)</f>
        <v>486913.0961</v>
      </c>
      <c r="D17" s="168">
        <f>D14*(1*H4)</f>
        <v>256317.695</v>
      </c>
      <c r="E17" s="169">
        <f>E14*(1+H4)</f>
        <v>285519.7212</v>
      </c>
      <c r="F17" s="167">
        <f>F14*(1+H4)</f>
        <v>256439.0606</v>
      </c>
      <c r="G17" s="168">
        <f>G14*(1+H4)</f>
        <v>207696.1543</v>
      </c>
    </row>
    <row r="18">
      <c r="B18" s="128"/>
      <c r="E18" s="128"/>
      <c r="F18" s="128"/>
      <c r="G18" s="128"/>
    </row>
    <row r="19">
      <c r="A19" s="63" t="s">
        <v>235</v>
      </c>
      <c r="B19" s="92" t="s">
        <v>254</v>
      </c>
      <c r="C19" s="92" t="s">
        <v>255</v>
      </c>
      <c r="D19" s="158" t="s">
        <v>256</v>
      </c>
      <c r="E19" s="170" t="s">
        <v>103</v>
      </c>
      <c r="F19" s="171" t="s">
        <v>257</v>
      </c>
      <c r="G19" s="172" t="s">
        <v>241</v>
      </c>
    </row>
    <row r="20">
      <c r="A20" s="69" t="s">
        <v>258</v>
      </c>
      <c r="D20" s="70"/>
      <c r="E20" s="165"/>
      <c r="F20" s="128"/>
      <c r="G20" s="166"/>
    </row>
    <row r="21">
      <c r="A21" s="69" t="s">
        <v>259</v>
      </c>
      <c r="B21" s="128">
        <f>((((25.9+16.2+21.6)%*I2)*(1+I5+30%))+(((25.9+16.2+43.2)%*I2)*(1+I5+60%))+(((25.9+16.2+64.8)%*I2)*(1+I5+90%))+(((130)%*I2)*(1+I5+90%)))*(B10-1)*((80+20)/((95+20)*(1-(B3))+80+20))*(1+I6+C3)*(1+D3+E3+I7)</f>
        <v>249714.6379</v>
      </c>
      <c r="C21" s="128">
        <f>((((25.9+16.2+21.6)%*I2)*(1+I5+30%))+(((25.9+16.2+43.2)%*I2)*(1+I5+60%))+(((25.9+16.2+64.8)%*I2)*(1+I5+90%))+(((130)%*I2)*(1+I5+90%)))*(B10-1)*((80+20)/((95+20)*(1-(B2))+80+20))*(1+I6+C2)*(1+D2+E2+I7)</f>
        <v>298239.0746</v>
      </c>
      <c r="D21" s="166">
        <f>((((25.9+16.2+21.6)%*I2)*(1+I5+30%))+(((25.9+16.2+43.2)%*I2)*(1+I5+60%))+(((25.9+16.2+64.8)%*I2)*(1+I5+90%))+(((130)%*I2)*(1+I5+90%)))*(B10-1)*((80+20)/((95+20)*(1-(B2+B3))+80+20))*(1+I6+C2+C3)*(1+D2+D3+E2+E3+I7)</f>
        <v>432376.2713</v>
      </c>
      <c r="E21" s="165">
        <f>((((25.9+16.2+21.6)%*I2)*(1+I5+30%))+(((25.9+16.2+43.2)%*I2)*(1+I5+60%))+(((25.9+16.2+64.8)%*I2)*(1+I5+90%))+(((130)%*I2)*(1+I5+90%)))*(B10-1)*((80+20)/((95+20)*(1)+80+20))*(1+I6)*(1+I7)</f>
        <v>172245.027</v>
      </c>
      <c r="F21" s="128">
        <f>((((25.9+16.2+21.6)%*I2)*(1+I5+30%))+(((25.9+16.2+43.2)%*I2)*(1+I5+60%))+(((25.9+16.2+64.8)%*I2)*(1+I5+90%))+(((130)%*I2)*(1+I5+90%)))*(B10-1)*((80+20)/((95+20)*(1-(B2))+80+20))*(1+I6+C2)*(1+D2+E2+I7)</f>
        <v>298239.0746</v>
      </c>
      <c r="G21" s="166">
        <f>((((25.9+16.2+21.6)%*I2)*(1+I5+30%))+(((25.9+16.2+43.2)%*I2)*(1+I5+60%))+(((25.9+16.2+64.8)%*I2)*(1+I5+90%))+(((130)%*I2)*(1+I5+90%)))*(B10-1)*((80+20)/((95+20)*(1-(B3))+80+20))*(1+I6+C3)*(1+D3+E3+I7)</f>
        <v>249714.6379</v>
      </c>
    </row>
    <row r="22">
      <c r="A22" s="69" t="s">
        <v>260</v>
      </c>
      <c r="B22" s="128">
        <f>((((25.9+16.2+21.6)%*I2)*(1+I5+30%))+(((25.9+16.2+43.2)%*I2)*(1+I5+60%))+(((25.9+16.2+64.8)%*I2)*(1+I5+90%))+(((130)%*I2)*(1+I5+90%)))*((80+20)/((95+20)*(1-(B3+B4))+80+20))*(1+I6+C3+C4)*(1+D3+D4+E3+E4+I7) +
((25)%*I2)*(1+I5+90%)*((80+20)/((95+20)*(1-(B4+B3))+80+20))*(1+I6+C3+C4)*(1+D3+D4+E3+E4+I7)*6</f>
        <v>203705.9621</v>
      </c>
      <c r="C22" s="128">
        <f>((((25.9+16.2+21.6)%*I2)*(1+I5+30%))+(((25.9+16.2+43.2)%*I2)*(1+I5+60%))+(((25.9+16.2+64.8)%*I2)*(1+I5+90%))+(((130)%*I2)*(1+I5+90%)))*((80+20)/((95+20)*(1-(B2+B4))+80+20))*(1+I6+C2+C4)*(1+D2+D4+E2+E4+I7) +
((25)%*I2)*(1+I5+90%)*((80+20)/((95+20)*(1-(B4+B2))+80+20))*(1+I6+C2+C4)*(1+D2+D4+E2+E4+I7)*6</f>
        <v>191547.6275</v>
      </c>
      <c r="D22" s="166">
        <f>((((25.9+16.2+21.6)%*I2)*(1+I5+30%))+(((25.9+16.2+43.2)%*I2)*(1+I5+60%))+(((25.9+16.2+64.8)%*I2)*(1+I5+90%))+(((130)%*I2)*(1+I5+90%)))*((80+20)/((95+20)*(1-(B2+B3))+80+20))*(1+I6+C2+C3)*(1+D2+D3+E2+E3+I7) +
((25)%*I2)*(1+I5+90%)*((80+20)/((95+20)*(1-(B3+B2))+80+20))*(1+I6+C2+C3)*(1+D2+D3+E2+E3+I7)*6</f>
        <v>151717.6666</v>
      </c>
      <c r="E22" s="165">
        <f>((((25.9+16.2+21.6)%*I2)*(1+I5+30%))+(((25.9+16.2+43.2)%*I2)*(1+I5+60%))+(((25.9+16.2+64.8)%*I2)*(1+I5+90%))+(((130)%*I2)*(1+I5+90%)))*((80+20)/((95+20)*(1-(B4))+80+20))*(1+I6+C4)*(1+D4+E4+I7) +
((25)%*I2)*(1+I5+90%)*((80+20)/((95+20)*(1-(B4))+80+20))*(1+I6+C4)*(1+D4+E4+I7)*6</f>
        <v>115506.107</v>
      </c>
      <c r="F22" s="128">
        <f>((((25.9+16.2+21.6)%*I2)*(1+I5+30%))+(((25.9+16.2+43.2)%*I2)*(1+I5+60%))+(((25.9+16.2+64.8)%*I2)*(1+I5+90%))+(((130)%*I2)*(1+I5+90%)))*((80+20)/((95+20)*(1-(B2))+80+20))*(1+I6+C2)*(1+D2+E2+I7) +
((25)%*I2)*(1+I5+90%)*((80+20)/((95+20)*(1-(B2))+80+20))*(1+I6+C2)*(1+D2+E2+I7)*6</f>
        <v>104649.9068</v>
      </c>
      <c r="G22" s="166">
        <f>((((25.9+16.2+21.6)%*I2)*(1+I5+30%))+(((25.9+16.2+43.2)%*I2)*(1+I5+60%))+(((25.9+16.2+64.8)%*I2)*(1+I5+90%))+(((130)%*I2)*(1+I5+90%)))*((80+20)/((95+20)*(1-(B3))+80+20))*(1+I6+C3)*(1+D3+E3+I7) +
((25)%*I2)*(1+I5+90%)*((80+20)/((95+20)*(1-(B3))+80+20))*(1+I6+C3)*(1+D3+E3+I7)*6</f>
        <v>87623.03739</v>
      </c>
    </row>
    <row r="23">
      <c r="A23" s="69" t="s">
        <v>214</v>
      </c>
      <c r="B23" s="128"/>
      <c r="C23" s="128"/>
      <c r="D23" s="166"/>
      <c r="E23" s="165"/>
      <c r="F23" s="128"/>
      <c r="G23" s="166"/>
    </row>
    <row r="24">
      <c r="A24" s="69" t="s">
        <v>259</v>
      </c>
      <c r="B24" s="128">
        <f>B21*(1+I4)</f>
        <v>870505.2279</v>
      </c>
      <c r="C24" s="128">
        <f>C21*(1+I4)</f>
        <v>1039661.414</v>
      </c>
      <c r="D24" s="166">
        <f>D21*(1+I4)</f>
        <v>1507263.682</v>
      </c>
      <c r="E24" s="165">
        <f>E21*(1+I4)</f>
        <v>600446.1642</v>
      </c>
      <c r="F24" s="128">
        <f>F21*(1+I4)</f>
        <v>1039661.414</v>
      </c>
      <c r="G24" s="166">
        <f>G21*(1+I4)</f>
        <v>870505.2279</v>
      </c>
    </row>
    <row r="25">
      <c r="A25" s="77" t="s">
        <v>260</v>
      </c>
      <c r="B25" s="167">
        <f>B22*(1+I4)</f>
        <v>710118.9839</v>
      </c>
      <c r="C25" s="167">
        <f>C22*(1+I4)</f>
        <v>667735.0295</v>
      </c>
      <c r="D25" s="168">
        <f>D22*(1+I4)</f>
        <v>528887.7857</v>
      </c>
      <c r="E25" s="169">
        <f>E22*(1+I4)</f>
        <v>402654.2891</v>
      </c>
      <c r="F25" s="167">
        <f>F22*(1+I4)</f>
        <v>364809.575</v>
      </c>
      <c r="G25" s="168">
        <f>G22*(1+I4)</f>
        <v>305453.9083</v>
      </c>
    </row>
  </sheetData>
  <mergeCells count="3">
    <mergeCell ref="B6:E6"/>
    <mergeCell ref="B7:E7"/>
    <mergeCell ref="B8:E8"/>
  </mergeCells>
  <dataValidations>
    <dataValidation type="list" allowBlank="1" showErrorMessage="1" sqref="H8">
      <formula1>"1,2"</formula1>
    </dataValidation>
    <dataValidation type="list" allowBlank="1" showErrorMessage="1" sqref="B6:B8">
      <formula1>"Resolution Shines as Pearls of Sweat S5,Incessant Rain S1,Those Many Springs S1"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3" t="s">
        <v>261</v>
      </c>
      <c r="B1" s="88"/>
      <c r="C1" s="88"/>
      <c r="E1" s="174" t="s">
        <v>262</v>
      </c>
      <c r="F1" s="175">
        <v>20.0</v>
      </c>
      <c r="H1" s="63" t="s">
        <v>263</v>
      </c>
      <c r="I1" s="176"/>
    </row>
    <row r="2">
      <c r="A2" s="121" t="s">
        <v>264</v>
      </c>
      <c r="F2" s="160"/>
      <c r="H2" s="69" t="s">
        <v>102</v>
      </c>
      <c r="I2" s="70" t="b">
        <v>0</v>
      </c>
    </row>
    <row r="3">
      <c r="A3" s="69" t="s">
        <v>265</v>
      </c>
      <c r="B3" s="65">
        <f>150*F1</f>
        <v>3000</v>
      </c>
      <c r="C3" s="58" t="s">
        <v>266</v>
      </c>
      <c r="E3" s="58" t="s">
        <v>267</v>
      </c>
      <c r="F3" s="104">
        <v>17.0</v>
      </c>
      <c r="H3" s="69" t="s">
        <v>268</v>
      </c>
      <c r="I3" s="70" t="b">
        <v>0</v>
      </c>
    </row>
    <row r="4">
      <c r="A4" s="69" t="s">
        <v>269</v>
      </c>
      <c r="B4" s="65">
        <f>ROUNDDOWN((225*(F1/7)))</f>
        <v>642</v>
      </c>
      <c r="C4" s="177">
        <f>SUM(B3:B7,C5)</f>
        <v>5818</v>
      </c>
      <c r="E4" s="58" t="s">
        <v>270</v>
      </c>
      <c r="F4" s="115">
        <v>0.0</v>
      </c>
      <c r="H4" s="69" t="s">
        <v>225</v>
      </c>
      <c r="I4" s="70" t="b">
        <v>0</v>
      </c>
    </row>
    <row r="5">
      <c r="A5" s="69" t="s">
        <v>271</v>
      </c>
      <c r="B5" s="65">
        <f>ROUNDDOWN((800*(F1/14)))</f>
        <v>1142</v>
      </c>
      <c r="C5" s="178">
        <v>134.0</v>
      </c>
      <c r="E5" s="58" t="s">
        <v>272</v>
      </c>
      <c r="F5" s="115">
        <v>38.0</v>
      </c>
      <c r="H5" s="69" t="s">
        <v>273</v>
      </c>
      <c r="I5" s="70" t="b">
        <v>0</v>
      </c>
    </row>
    <row r="6">
      <c r="A6" s="69" t="s">
        <v>274</v>
      </c>
      <c r="B6" s="58">
        <v>600.0</v>
      </c>
      <c r="C6" s="58" t="s">
        <v>275</v>
      </c>
      <c r="F6" s="115" t="s">
        <v>276</v>
      </c>
      <c r="H6" s="69" t="s">
        <v>222</v>
      </c>
      <c r="I6" s="115" t="b">
        <v>0</v>
      </c>
    </row>
    <row r="7">
      <c r="A7" s="69" t="s">
        <v>277</v>
      </c>
      <c r="B7" s="58">
        <v>300.0</v>
      </c>
      <c r="C7" s="177">
        <f>ROUNDDOWN(C4/160)</f>
        <v>36</v>
      </c>
      <c r="F7" s="179">
        <f>F5+F4+C7</f>
        <v>74</v>
      </c>
      <c r="H7" s="69" t="s">
        <v>278</v>
      </c>
      <c r="I7" s="115" t="b">
        <v>1</v>
      </c>
    </row>
    <row r="8">
      <c r="A8" s="121" t="s">
        <v>279</v>
      </c>
      <c r="F8" s="160"/>
      <c r="H8" s="69" t="s">
        <v>280</v>
      </c>
      <c r="I8" s="115" t="b">
        <v>1</v>
      </c>
    </row>
    <row r="9">
      <c r="A9" s="77" t="s">
        <v>281</v>
      </c>
      <c r="B9" s="180">
        <f>79-F3</f>
        <v>62</v>
      </c>
      <c r="C9" s="181">
        <f>158-F3</f>
        <v>141</v>
      </c>
      <c r="D9" s="125"/>
      <c r="E9" s="180">
        <f>F7-B9</f>
        <v>12</v>
      </c>
      <c r="F9" s="182">
        <f>F7-C9</f>
        <v>-67</v>
      </c>
      <c r="H9" s="77" t="s">
        <v>282</v>
      </c>
      <c r="I9" s="127" t="b">
        <v>1</v>
      </c>
    </row>
    <row r="25">
      <c r="K25" s="58" t="s">
        <v>283</v>
      </c>
    </row>
    <row r="26">
      <c r="A26" s="58" t="s">
        <v>284</v>
      </c>
      <c r="D26" s="58" t="s">
        <v>285</v>
      </c>
      <c r="E26" s="58" t="s">
        <v>286</v>
      </c>
      <c r="G26" s="58" t="s">
        <v>287</v>
      </c>
      <c r="K26" s="65">
        <f>37.4+12+10+12</f>
        <v>71.4</v>
      </c>
    </row>
    <row r="27">
      <c r="A27" s="58" t="s">
        <v>244</v>
      </c>
      <c r="B27" s="58" t="s">
        <v>288</v>
      </c>
      <c r="D27" s="58" t="s">
        <v>289</v>
      </c>
      <c r="E27" s="58" t="s">
        <v>290</v>
      </c>
      <c r="G27" s="58" t="s">
        <v>291</v>
      </c>
      <c r="K27" s="65">
        <f>59.9+24</f>
        <v>83.9</v>
      </c>
    </row>
    <row r="28">
      <c r="A28" s="58" t="s">
        <v>243</v>
      </c>
      <c r="B28" s="58" t="s">
        <v>288</v>
      </c>
      <c r="D28" s="58" t="s">
        <v>140</v>
      </c>
      <c r="E28" s="58" t="s">
        <v>292</v>
      </c>
      <c r="G28" s="58" t="s">
        <v>293</v>
      </c>
    </row>
    <row r="29">
      <c r="A29" s="58" t="s">
        <v>294</v>
      </c>
      <c r="B29" s="58" t="s">
        <v>295</v>
      </c>
      <c r="G29" s="58" t="s">
        <v>296</v>
      </c>
    </row>
    <row r="30">
      <c r="A30" s="58" t="s">
        <v>101</v>
      </c>
      <c r="B30" s="58" t="s">
        <v>297</v>
      </c>
      <c r="G30" s="58" t="s">
        <v>298</v>
      </c>
    </row>
    <row r="32">
      <c r="A32" s="58" t="s">
        <v>247</v>
      </c>
      <c r="B32" s="58" t="s">
        <v>299</v>
      </c>
    </row>
  </sheetData>
  <mergeCells count="3">
    <mergeCell ref="A1:C1"/>
    <mergeCell ref="A2:F2"/>
    <mergeCell ref="A8:F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300</v>
      </c>
      <c r="B1" s="58" t="s">
        <v>101</v>
      </c>
      <c r="C1" s="58" t="s">
        <v>113</v>
      </c>
      <c r="D1" s="58" t="s">
        <v>114</v>
      </c>
      <c r="E1" s="58" t="s">
        <v>301</v>
      </c>
      <c r="G1" s="58" t="s">
        <v>101</v>
      </c>
      <c r="H1" s="58" t="s">
        <v>243</v>
      </c>
      <c r="I1" s="58" t="s">
        <v>302</v>
      </c>
      <c r="J1" s="58" t="s">
        <v>195</v>
      </c>
    </row>
    <row r="2">
      <c r="B2" s="58">
        <v>640.0</v>
      </c>
      <c r="C2" s="65">
        <f>45+4+4+6+6+8</f>
        <v>73</v>
      </c>
      <c r="D2" s="58">
        <v>12.5</v>
      </c>
      <c r="E2" s="65">
        <f>(B2+B3)*(SUM(C2:D4))%+352</f>
        <v>3127.162</v>
      </c>
      <c r="F2" s="58" t="s">
        <v>303</v>
      </c>
      <c r="G2" s="58">
        <v>10.0</v>
      </c>
      <c r="H2" s="65">
        <f>16*3</f>
        <v>48</v>
      </c>
      <c r="I2" s="58">
        <v>30.0</v>
      </c>
      <c r="J2" s="65">
        <f>SUM(G2:I5)</f>
        <v>246</v>
      </c>
    </row>
    <row r="3">
      <c r="B3" s="58">
        <v>582.0</v>
      </c>
      <c r="C3" s="65">
        <f>43.2*3</f>
        <v>129.6</v>
      </c>
      <c r="E3" s="65">
        <f>B2+B3+E2</f>
        <v>4349.162</v>
      </c>
      <c r="F3" s="58" t="s">
        <v>304</v>
      </c>
      <c r="G3" s="58">
        <v>80.0</v>
      </c>
      <c r="H3" s="58">
        <v>24.0</v>
      </c>
    </row>
    <row r="4">
      <c r="C4" s="58">
        <v>12.0</v>
      </c>
      <c r="G4" s="58">
        <v>18.0</v>
      </c>
    </row>
    <row r="5">
      <c r="G5" s="58">
        <v>36.0</v>
      </c>
    </row>
    <row r="7">
      <c r="A7" s="58" t="s">
        <v>305</v>
      </c>
      <c r="B7" s="58" t="s">
        <v>105</v>
      </c>
      <c r="C7" s="58" t="s">
        <v>113</v>
      </c>
      <c r="D7" s="58" t="s">
        <v>114</v>
      </c>
      <c r="E7" s="58" t="s">
        <v>306</v>
      </c>
      <c r="G7" s="58" t="s">
        <v>307</v>
      </c>
      <c r="H7" s="58" t="s">
        <v>308</v>
      </c>
      <c r="I7" s="58" t="s">
        <v>309</v>
      </c>
    </row>
    <row r="8">
      <c r="B8" s="58">
        <v>679.0</v>
      </c>
      <c r="C8" s="65">
        <f>16*4</f>
        <v>64</v>
      </c>
      <c r="D8" s="58">
        <v>20.0</v>
      </c>
      <c r="E8" s="65">
        <f>((B8+B9)*SUM(C8:D10)%)+((B8+B9)*I9%)+352</f>
        <v>4584.832</v>
      </c>
      <c r="F8" s="58" t="s">
        <v>303</v>
      </c>
      <c r="G8" s="58">
        <v>5219.0</v>
      </c>
      <c r="H8" s="65">
        <f t="shared" ref="H8:H10" si="1">G8*4%</f>
        <v>208.76</v>
      </c>
      <c r="I8" s="65">
        <f>SUM(H8:H10)*540%</f>
        <v>2987.712</v>
      </c>
    </row>
    <row r="9">
      <c r="B9" s="58">
        <v>529.0</v>
      </c>
      <c r="C9" s="58">
        <f>(43.2*2)</f>
        <v>86.4</v>
      </c>
      <c r="E9" s="65">
        <f>B8+B9+E8</f>
        <v>5792.832</v>
      </c>
      <c r="F9" s="58" t="s">
        <v>304</v>
      </c>
      <c r="G9" s="58">
        <v>4151.0</v>
      </c>
      <c r="H9" s="65">
        <f t="shared" si="1"/>
        <v>166.04</v>
      </c>
      <c r="I9" s="65">
        <f>IF(I8&gt;(SUM(B8:B9)),180,I8)</f>
        <v>180</v>
      </c>
    </row>
    <row r="10">
      <c r="G10" s="58">
        <v>4462.0</v>
      </c>
      <c r="H10" s="65">
        <f t="shared" si="1"/>
        <v>178.48</v>
      </c>
    </row>
    <row r="13">
      <c r="A13" s="58" t="s">
        <v>310</v>
      </c>
      <c r="B13" s="58" t="s">
        <v>311</v>
      </c>
      <c r="C13" s="58" t="s">
        <v>113</v>
      </c>
      <c r="D13" s="58" t="s">
        <v>114</v>
      </c>
      <c r="E13" s="58" t="s">
        <v>301</v>
      </c>
    </row>
    <row r="14">
      <c r="B14" s="58">
        <v>635.0</v>
      </c>
      <c r="C14" s="58">
        <v>12.0</v>
      </c>
      <c r="D14" s="58">
        <v>15.0</v>
      </c>
      <c r="E14" s="65">
        <f>(B15+B14)*(SUM(C14:D16))%+352</f>
        <v>2812.718</v>
      </c>
      <c r="F14" s="58" t="s">
        <v>303</v>
      </c>
    </row>
    <row r="15">
      <c r="B15" s="58">
        <v>698.0</v>
      </c>
      <c r="C15" s="58">
        <f>43.2*3</f>
        <v>129.6</v>
      </c>
      <c r="E15" s="65">
        <f>B15+B14+E14</f>
        <v>4145.718</v>
      </c>
      <c r="F15" s="58" t="s">
        <v>304</v>
      </c>
    </row>
    <row r="16">
      <c r="C16" s="65">
        <f>4+6+6+4+8</f>
        <v>28</v>
      </c>
    </row>
    <row r="18">
      <c r="A18" s="58" t="s">
        <v>312</v>
      </c>
      <c r="B18" s="58" t="s">
        <v>313</v>
      </c>
      <c r="C18" s="58" t="s">
        <v>113</v>
      </c>
      <c r="D18" s="58" t="s">
        <v>114</v>
      </c>
      <c r="E18" s="58" t="s">
        <v>314</v>
      </c>
    </row>
    <row r="19">
      <c r="B19" s="58">
        <v>655.0</v>
      </c>
      <c r="C19" s="58">
        <f>24+15</f>
        <v>39</v>
      </c>
      <c r="D19" s="58">
        <v>48.0</v>
      </c>
      <c r="E19" s="65">
        <f>(B19+B20)*(SUM(C19:D22))%</f>
        <v>3175.12</v>
      </c>
      <c r="F19" s="58" t="s">
        <v>303</v>
      </c>
    </row>
    <row r="20">
      <c r="B20" s="58">
        <v>463.0</v>
      </c>
      <c r="C20" s="65">
        <f>10+5+7.5+5+7.5</f>
        <v>35</v>
      </c>
      <c r="E20" s="65">
        <f>B19+B20+E19</f>
        <v>4293.12</v>
      </c>
      <c r="F20" s="58" t="s">
        <v>304</v>
      </c>
    </row>
    <row r="21">
      <c r="C21" s="65">
        <f>54*3</f>
        <v>162</v>
      </c>
    </row>
    <row r="23">
      <c r="A23" s="58" t="s">
        <v>315</v>
      </c>
      <c r="B23" s="58" t="s">
        <v>316</v>
      </c>
      <c r="C23" s="58" t="s">
        <v>113</v>
      </c>
      <c r="D23" s="58" t="s">
        <v>114</v>
      </c>
      <c r="E23" s="58" t="s">
        <v>301</v>
      </c>
    </row>
    <row r="24">
      <c r="B24" s="58">
        <v>582.0</v>
      </c>
      <c r="C24" s="65">
        <f>(43.2*2)</f>
        <v>86.4</v>
      </c>
      <c r="D24" s="58">
        <v>20.0</v>
      </c>
      <c r="E24" s="65">
        <f>(B24+B25)*(SUM(C24:D27))%+352</f>
        <v>2345.134</v>
      </c>
      <c r="F24" s="58" t="s">
        <v>303</v>
      </c>
    </row>
    <row r="25">
      <c r="B25" s="58">
        <v>529.0</v>
      </c>
      <c r="C25" s="65">
        <f>25+6+4+4+8+6</f>
        <v>53</v>
      </c>
      <c r="E25" s="65">
        <f>B24+B25+E24</f>
        <v>3456.134</v>
      </c>
      <c r="F25" s="58" t="s">
        <v>317</v>
      </c>
    </row>
    <row r="26">
      <c r="C26" s="65">
        <f>4*5</f>
        <v>20</v>
      </c>
    </row>
    <row r="28">
      <c r="A28" s="58" t="s">
        <v>318</v>
      </c>
      <c r="B28" s="58" t="s">
        <v>319</v>
      </c>
      <c r="C28" s="58" t="s">
        <v>113</v>
      </c>
      <c r="D28" s="58" t="s">
        <v>114</v>
      </c>
      <c r="E28" s="58" t="s">
        <v>320</v>
      </c>
    </row>
    <row r="29">
      <c r="B29" s="58">
        <v>606.0</v>
      </c>
      <c r="C29" s="58">
        <f>15+24+30</f>
        <v>69</v>
      </c>
      <c r="D29" s="65">
        <f>9.7+9.7+10.8</f>
        <v>30.2</v>
      </c>
      <c r="E29" s="65">
        <f>(B29+B30)*(SUM(C29:D32))%</f>
        <v>3166.378</v>
      </c>
      <c r="F29" s="58" t="s">
        <v>303</v>
      </c>
    </row>
    <row r="30">
      <c r="B30" s="58">
        <v>463.0</v>
      </c>
      <c r="C30" s="65">
        <f>54*3</f>
        <v>162</v>
      </c>
      <c r="E30" s="65">
        <f>B29+B30+E29</f>
        <v>4235.378</v>
      </c>
      <c r="F30" s="58" t="s">
        <v>317</v>
      </c>
    </row>
    <row r="31">
      <c r="C31" s="65">
        <f>5+5+7.5+7.5+10</f>
        <v>35</v>
      </c>
    </row>
    <row r="32">
      <c r="A32" s="58" t="s">
        <v>321</v>
      </c>
    </row>
    <row r="36">
      <c r="A36" s="58" t="s">
        <v>294</v>
      </c>
      <c r="B36" s="58" t="s">
        <v>322</v>
      </c>
      <c r="C36" s="58" t="s">
        <v>113</v>
      </c>
      <c r="D36" s="58" t="s">
        <v>114</v>
      </c>
    </row>
    <row r="37">
      <c r="B37" s="58">
        <v>1475.0</v>
      </c>
      <c r="C37" s="65">
        <f>(43.2*3)+40</f>
        <v>169.6</v>
      </c>
      <c r="D37" s="58">
        <v>50.0</v>
      </c>
      <c r="E37" s="65">
        <f>(B37+B38)*(SUM(C37:D40))%</f>
        <v>6961.32</v>
      </c>
    </row>
    <row r="38">
      <c r="B38" s="58">
        <v>1270.0</v>
      </c>
      <c r="C38" s="58">
        <v>16.0</v>
      </c>
      <c r="E38" s="65">
        <f>B37+B38+E37</f>
        <v>9706.32</v>
      </c>
    </row>
    <row r="39">
      <c r="C39" s="58">
        <v>18.0</v>
      </c>
    </row>
    <row r="42">
      <c r="A42" s="58" t="s">
        <v>323</v>
      </c>
      <c r="B42" s="58" t="s">
        <v>118</v>
      </c>
      <c r="C42" s="58" t="s">
        <v>126</v>
      </c>
      <c r="D42" s="58" t="s">
        <v>127</v>
      </c>
      <c r="E42" s="58" t="s">
        <v>324</v>
      </c>
      <c r="F42" s="58" t="s">
        <v>325</v>
      </c>
    </row>
    <row r="43">
      <c r="B43" s="67">
        <f>33.7+48</f>
        <v>81.7</v>
      </c>
      <c r="C43" s="85">
        <v>20.0</v>
      </c>
      <c r="D43" s="85">
        <v>30.0</v>
      </c>
      <c r="E43" s="67">
        <f>18.1+18.1+12.3+12.3</f>
        <v>60.8</v>
      </c>
      <c r="F43" s="183">
        <f>SUM(B43:E47)</f>
        <v>333.3</v>
      </c>
    </row>
    <row r="44">
      <c r="B44" s="66">
        <v>64.8</v>
      </c>
    </row>
    <row r="45">
      <c r="B45" s="66">
        <v>16.0</v>
      </c>
    </row>
    <row r="46">
      <c r="B46" s="66">
        <v>60.0</v>
      </c>
    </row>
    <row r="49">
      <c r="A49" s="58" t="s">
        <v>266</v>
      </c>
      <c r="B49" s="58" t="s">
        <v>322</v>
      </c>
      <c r="C49" s="58" t="s">
        <v>113</v>
      </c>
      <c r="D49" s="58" t="s">
        <v>326</v>
      </c>
      <c r="E49" s="58" t="s">
        <v>327</v>
      </c>
    </row>
    <row r="50">
      <c r="B50" s="58">
        <v>660.0</v>
      </c>
      <c r="C50" s="65">
        <f>0.5*50</f>
        <v>25</v>
      </c>
      <c r="D50" s="58">
        <v>30.0</v>
      </c>
      <c r="E50" s="65">
        <f>(B50+B51)*(SUM(C50:D53))%+352</f>
        <v>1407.7</v>
      </c>
    </row>
    <row r="51">
      <c r="B51" s="58">
        <v>582.0</v>
      </c>
      <c r="C51" s="58">
        <f>12+18</f>
        <v>30</v>
      </c>
      <c r="E51" s="65">
        <f>B50+B51+E50</f>
        <v>2649.7</v>
      </c>
    </row>
    <row r="62">
      <c r="A62" s="58" t="s">
        <v>328</v>
      </c>
    </row>
    <row r="63">
      <c r="A63" s="58" t="s">
        <v>329</v>
      </c>
    </row>
    <row r="64">
      <c r="A64" s="58" t="s">
        <v>215</v>
      </c>
      <c r="B64" s="58">
        <v>4.0</v>
      </c>
    </row>
    <row r="65">
      <c r="A65" s="58" t="s">
        <v>330</v>
      </c>
      <c r="B65" s="65">
        <f>12+20</f>
        <v>32</v>
      </c>
    </row>
    <row r="66">
      <c r="A66" s="58" t="s">
        <v>331</v>
      </c>
      <c r="B66" s="65">
        <f>10+20</f>
        <v>30</v>
      </c>
    </row>
    <row r="67">
      <c r="A67" s="58" t="s">
        <v>332</v>
      </c>
      <c r="B67" s="58" t="s">
        <v>333</v>
      </c>
      <c r="C67" s="58" t="s">
        <v>334</v>
      </c>
    </row>
    <row r="68">
      <c r="A68" s="58" t="s">
        <v>215</v>
      </c>
      <c r="B68" s="65">
        <f>2+3</f>
        <v>5</v>
      </c>
      <c r="C68" s="65">
        <f t="shared" ref="C68:C70" si="2">B68*5</f>
        <v>25</v>
      </c>
    </row>
    <row r="69">
      <c r="A69" s="58" t="s">
        <v>335</v>
      </c>
      <c r="B69" s="65">
        <f>2+3+4+6</f>
        <v>15</v>
      </c>
      <c r="C69" s="65">
        <f t="shared" si="2"/>
        <v>75</v>
      </c>
    </row>
    <row r="70">
      <c r="A70" s="58" t="s">
        <v>336</v>
      </c>
      <c r="B70" s="65">
        <f>5+8+10+12+15</f>
        <v>50</v>
      </c>
      <c r="C70" s="65">
        <f t="shared" si="2"/>
        <v>250</v>
      </c>
    </row>
    <row r="71">
      <c r="A71" s="58" t="s">
        <v>337</v>
      </c>
    </row>
    <row r="72">
      <c r="A72" s="58" t="s">
        <v>338</v>
      </c>
      <c r="B72" s="65">
        <f>2+3+4</f>
        <v>9</v>
      </c>
    </row>
    <row r="73">
      <c r="A73" s="58" t="s">
        <v>339</v>
      </c>
      <c r="B73" s="65">
        <f>2+4+9+15+30</f>
        <v>60</v>
      </c>
    </row>
  </sheetData>
  <conditionalFormatting sqref="I9">
    <cfRule type="cellIs" dxfId="0" priority="1" operator="equal">
      <formula>180</formula>
    </cfRule>
  </conditionalFormatting>
  <conditionalFormatting sqref="I9">
    <cfRule type="cellIs" dxfId="1" priority="2" operator="notEqual">
      <formula>180</formula>
    </cfRule>
  </conditionalFormatting>
  <drawing r:id="rId1"/>
</worksheet>
</file>