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ort Energy Sheet" sheetId="1" r:id="rId4"/>
    <sheet state="visible" name="DEF Reduction Sheet" sheetId="2" r:id="rId5"/>
    <sheet state="visible" name="Firefly Sheet" sheetId="3" r:id="rId6"/>
    <sheet state="visible" name="Robin Sheet" sheetId="4" r:id="rId7"/>
    <sheet state="visible" name="Seele Sheet" sheetId="5" r:id="rId8"/>
    <sheet state="visible" name="Acheron Sheet" sheetId="6" r:id="rId9"/>
    <sheet state="visible" name="Personal Shopping List" sheetId="7" r:id="rId10"/>
    <sheet state="visible" name="Chicken Scratches" sheetId="8" r:id="rId11"/>
  </sheets>
  <definedNames/>
  <calcPr/>
</workbook>
</file>

<file path=xl/sharedStrings.xml><?xml version="1.0" encoding="utf-8"?>
<sst xmlns="http://schemas.openxmlformats.org/spreadsheetml/2006/main" count="1109" uniqueCount="399">
  <si>
    <t>RUAN MEI</t>
  </si>
  <si>
    <t>Max Energy</t>
  </si>
  <si>
    <t>Energy Regeneration Rate</t>
  </si>
  <si>
    <t>Light Cone</t>
  </si>
  <si>
    <t>Rotation (E0)</t>
  </si>
  <si>
    <t>-----</t>
  </si>
  <si>
    <t>Planar Set</t>
  </si>
  <si>
    <t>ERR Rope</t>
  </si>
  <si>
    <t>Planar + ERR</t>
  </si>
  <si>
    <t>QEAE</t>
  </si>
  <si>
    <t>QAEA</t>
  </si>
  <si>
    <t>MoTP S4</t>
  </si>
  <si>
    <t>MoTP S5</t>
  </si>
  <si>
    <t>SILVER WOLF</t>
  </si>
  <si>
    <t>QEAA</t>
  </si>
  <si>
    <t>(E)QAAA</t>
  </si>
  <si>
    <t>BtTMS S5</t>
  </si>
  <si>
    <t>QEA</t>
  </si>
  <si>
    <t>BtTMS S5*</t>
  </si>
  <si>
    <t>Assumes DEF 
Reduction on 
Ult cast</t>
  </si>
  <si>
    <t>PELA</t>
  </si>
  <si>
    <t>Talent Lvl 12</t>
  </si>
  <si>
    <t>(E)QAA</t>
  </si>
  <si>
    <t>Debuffed</t>
  </si>
  <si>
    <t>BRONYA</t>
  </si>
  <si>
    <t>QEEE</t>
  </si>
  <si>
    <t>AEEE</t>
  </si>
  <si>
    <t>BtBiO (+10%)</t>
  </si>
  <si>
    <t>BtBiO (+16%)</t>
  </si>
  <si>
    <t>QEE</t>
  </si>
  <si>
    <t>BtBiO (+18%)</t>
  </si>
  <si>
    <t>FU XUAN</t>
  </si>
  <si>
    <t>(E)QAAE</t>
  </si>
  <si>
    <t>QAAEA</t>
  </si>
  <si>
    <t>SASHE (+10%)</t>
  </si>
  <si>
    <t>HUOHUO</t>
  </si>
  <si>
    <t>Assumes max passive triggers (+12)</t>
  </si>
  <si>
    <t>Assumes max passive triggers (+6)</t>
  </si>
  <si>
    <t>QEAEA</t>
  </si>
  <si>
    <t>SF S3 (+3/E)</t>
  </si>
  <si>
    <t>NoF S1(+12%)</t>
  </si>
  <si>
    <t>PoC S4(+14%)</t>
  </si>
  <si>
    <t>PoC S5(+16%)</t>
  </si>
  <si>
    <t>BAILU/LYNX</t>
  </si>
  <si>
    <t>QAA</t>
  </si>
  <si>
    <t>QAAA</t>
  </si>
  <si>
    <t>QAAE</t>
  </si>
  <si>
    <t>NoF S1 (+12%)</t>
  </si>
  <si>
    <t>YUKONG</t>
  </si>
  <si>
    <t>A6 trace active (+4)</t>
  </si>
  <si>
    <t>Rotation (E2)</t>
  </si>
  <si>
    <t>Assumes 2 max ult triggers (+10)</t>
  </si>
  <si>
    <t>Rotation (E6)</t>
  </si>
  <si>
    <t>1+ A6 trigger (+6) for first E</t>
  </si>
  <si>
    <t>TINGYUN</t>
  </si>
  <si>
    <t>QEAAA</t>
  </si>
  <si>
    <t>ASTA</t>
  </si>
  <si>
    <t>Rotation (E1)</t>
  </si>
  <si>
    <t>E hit +1</t>
  </si>
  <si>
    <t>Rotation (E4)</t>
  </si>
  <si>
    <t>Assumes 100% uptime on 2 stacks</t>
  </si>
  <si>
    <t>HANYA</t>
  </si>
  <si>
    <t>BtBiO S1(+10%)</t>
  </si>
  <si>
    <t>GEPARD</t>
  </si>
  <si>
    <t>AAAE</t>
  </si>
  <si>
    <t>LUOCHA</t>
  </si>
  <si>
    <t>T means auto-heal of skill (Takes no turn)</t>
  </si>
  <si>
    <t>QTA</t>
  </si>
  <si>
    <t>QTAA</t>
  </si>
  <si>
    <t>EotC
3 Ult 3 Basic</t>
  </si>
  <si>
    <t>WELT</t>
  </si>
  <si>
    <t>QEEA</t>
  </si>
  <si>
    <t>Slowed</t>
  </si>
  <si>
    <t>Talent trigger = +3 Energy</t>
  </si>
  <si>
    <t>SPARKLE</t>
  </si>
  <si>
    <t>FIRE TRAILBLAZER</t>
  </si>
  <si>
    <t>A6 activates twice (+12)</t>
  </si>
  <si>
    <t>QA^AE</t>
  </si>
  <si>
    <t>QA^AA^</t>
  </si>
  <si>
    <t>QA^EE</t>
  </si>
  <si>
    <t>ROBIN</t>
  </si>
  <si>
    <t>Assumes each character takes action (+6) per turn</t>
  </si>
  <si>
    <t>QEAAE</t>
  </si>
  <si>
    <t>Assumes 2 procs of Quid Pro Quo (+32)</t>
  </si>
  <si>
    <t>GALLAGHER</t>
  </si>
  <si>
    <t>Thief of Shooting Meteor (1 break = +4)</t>
  </si>
  <si>
    <t>QAEE</t>
  </si>
  <si>
    <t>QAAAE</t>
  </si>
  <si>
    <t>QAAEE</t>
  </si>
  <si>
    <t>EotC
9 Ult 3 Basic</t>
  </si>
  <si>
    <t>HARMONY TRAILBLAZER</t>
  </si>
  <si>
    <t>Assumes 2 triggers of Talent lvl 10 (+20)</t>
  </si>
  <si>
    <t>E6 adds 2 hits (+12)</t>
  </si>
  <si>
    <t>JIAOQIU</t>
  </si>
  <si>
    <t>Firefly</t>
  </si>
  <si>
    <t>Base kit</t>
  </si>
  <si>
    <t xml:space="preserve">Firefly E1 </t>
  </si>
  <si>
    <t xml:space="preserve">Ruan Mei E1 </t>
  </si>
  <si>
    <t>FF+RM E1</t>
  </si>
  <si>
    <t>FF+RME1+LE1</t>
  </si>
  <si>
    <t>Character lvl</t>
  </si>
  <si>
    <t>Enemy lvl</t>
  </si>
  <si>
    <t>Def shred</t>
  </si>
  <si>
    <t>DEF Multiplier</t>
  </si>
  <si>
    <t>Seele</t>
  </si>
  <si>
    <t>Sparkle E2</t>
  </si>
  <si>
    <t>SW</t>
  </si>
  <si>
    <t>SparkleE2+SW</t>
  </si>
  <si>
    <t>Jingliu</t>
  </si>
  <si>
    <t>LC</t>
  </si>
  <si>
    <t>LC+RM E1</t>
  </si>
  <si>
    <t>LC+QUA Set</t>
  </si>
  <si>
    <t>LC+RM E1+ QUA Set</t>
  </si>
  <si>
    <t>Firefly Stats:</t>
  </si>
  <si>
    <t>Final Stats</t>
  </si>
  <si>
    <t>Lingsha</t>
  </si>
  <si>
    <t>Atk</t>
  </si>
  <si>
    <t>Mods</t>
  </si>
  <si>
    <t>Subs</t>
  </si>
  <si>
    <t>Attack</t>
  </si>
  <si>
    <t>Base Spd</t>
  </si>
  <si>
    <t>Spd</t>
  </si>
  <si>
    <t>Ult Spd</t>
  </si>
  <si>
    <t>Crit Rate</t>
  </si>
  <si>
    <t>Break Effect</t>
  </si>
  <si>
    <t>Crit DMG</t>
  </si>
  <si>
    <t>DMG Bonus</t>
  </si>
  <si>
    <t>Res Pen</t>
  </si>
  <si>
    <t>Def Ignore</t>
  </si>
  <si>
    <t>Break DMG+</t>
  </si>
  <si>
    <t>Sources</t>
  </si>
  <si>
    <t>BE%</t>
  </si>
  <si>
    <t>Buffs</t>
  </si>
  <si>
    <t>Temp Buffs</t>
  </si>
  <si>
    <t>DMG+</t>
  </si>
  <si>
    <t>HMC</t>
  </si>
  <si>
    <t>Ruan Mei</t>
  </si>
  <si>
    <t>Sets</t>
  </si>
  <si>
    <t>Gallagher</t>
  </si>
  <si>
    <t>Rope</t>
  </si>
  <si>
    <t>FF E1</t>
  </si>
  <si>
    <t>FF LC</t>
  </si>
  <si>
    <t>Whereabouts Should Dreams Rest</t>
  </si>
  <si>
    <t>Boots</t>
  </si>
  <si>
    <t>FF E6</t>
  </si>
  <si>
    <t>Ruan Mei Ult</t>
  </si>
  <si>
    <t>RM E1</t>
  </si>
  <si>
    <t>Messenger</t>
  </si>
  <si>
    <t>Lushaka</t>
  </si>
  <si>
    <t>HMC Ult</t>
  </si>
  <si>
    <t>Watchmaker</t>
  </si>
  <si>
    <t>RM LC</t>
  </si>
  <si>
    <t>Lingsha Ult</t>
  </si>
  <si>
    <t>Lingsha E1</t>
  </si>
  <si>
    <t>Lingsha E2</t>
  </si>
  <si>
    <t>Lingsha LC</t>
  </si>
  <si>
    <t>Damage Sheet:</t>
  </si>
  <si>
    <t>Character</t>
  </si>
  <si>
    <t>Firefly lvl</t>
  </si>
  <si>
    <t>OG Break</t>
  </si>
  <si>
    <t>HMC lvl</t>
  </si>
  <si>
    <t>Super Break</t>
  </si>
  <si>
    <t>Ruan Mei lvl</t>
  </si>
  <si>
    <t>Side</t>
  </si>
  <si>
    <t>Gallagher lvl</t>
  </si>
  <si>
    <t>% change</t>
  </si>
  <si>
    <t>Enemy Level</t>
  </si>
  <si>
    <t>Toughness</t>
  </si>
  <si>
    <t>Lingsha Spread</t>
  </si>
  <si>
    <t># of enemies</t>
  </si>
  <si>
    <t>Ult</t>
  </si>
  <si>
    <t>Gallagher Ult</t>
  </si>
  <si>
    <t>Skill</t>
  </si>
  <si>
    <t>Fire Resist?</t>
  </si>
  <si>
    <t>Fuyuan</t>
  </si>
  <si>
    <t>Fire Weak?</t>
  </si>
  <si>
    <t>Ruan Mei Thanatoplum</t>
  </si>
  <si>
    <t>Side Fire Weak?</t>
  </si>
  <si>
    <t>Delay</t>
  </si>
  <si>
    <t>Img Weak?</t>
  </si>
  <si>
    <t>Dmg</t>
  </si>
  <si>
    <t>Ice Weak?</t>
  </si>
  <si>
    <t>Gallagher Spread</t>
  </si>
  <si>
    <t>Enhanced</t>
  </si>
  <si>
    <t>Basic</t>
  </si>
  <si>
    <t>This table was made during 2.3 beta v3 &gt;&gt;&gt;</t>
  </si>
  <si>
    <t>Damage Table of Non-Fire Weak VS Fire Weak Enemies (Fall of an Aeon S5 VS Fire Weak baseline) %Change</t>
  </si>
  <si>
    <t>NOT UPDATED DO NOT USE AS REFERENCE</t>
  </si>
  <si>
    <t>WSDR S1</t>
  </si>
  <si>
    <t>Aeon S5</t>
  </si>
  <si>
    <t>Indelible S5</t>
  </si>
  <si>
    <t>Indelible S1</t>
  </si>
  <si>
    <t>Ruan Mei (N)</t>
  </si>
  <si>
    <t>Gallagher (N)</t>
  </si>
  <si>
    <t>FF E0</t>
  </si>
  <si>
    <t>FF E1 + RM E1</t>
  </si>
  <si>
    <t>FF E1 + RM E2</t>
  </si>
  <si>
    <t>Gallagher (Y)</t>
  </si>
  <si>
    <t>Ruan Mei (Y)</t>
  </si>
  <si>
    <t>Robin Stats</t>
  </si>
  <si>
    <t>March Stats</t>
  </si>
  <si>
    <t>Feixiao Stats</t>
  </si>
  <si>
    <t>Aventurine Stats</t>
  </si>
  <si>
    <t>ATK</t>
  </si>
  <si>
    <t>Venture Forth</t>
  </si>
  <si>
    <t>DEF</t>
  </si>
  <si>
    <t>Eidolon</t>
  </si>
  <si>
    <t>SPD</t>
  </si>
  <si>
    <t>DMG</t>
  </si>
  <si>
    <t>CR</t>
  </si>
  <si>
    <t>Robin Buffs</t>
  </si>
  <si>
    <t>Master</t>
  </si>
  <si>
    <t>CDMG</t>
  </si>
  <si>
    <t>Ult Debuff</t>
  </si>
  <si>
    <t>ATK+</t>
  </si>
  <si>
    <t>FuA CDMG</t>
  </si>
  <si>
    <t>Concerto dmg</t>
  </si>
  <si>
    <t>DMG%</t>
  </si>
  <si>
    <t>Break stack</t>
  </si>
  <si>
    <t>Crit Dmg+</t>
  </si>
  <si>
    <t>Basic DMG%</t>
  </si>
  <si>
    <t>FuA DMG%</t>
  </si>
  <si>
    <t>FuA Crit Dmg+</t>
  </si>
  <si>
    <t>EB DMG%</t>
  </si>
  <si>
    <t>Ult DMG%</t>
  </si>
  <si>
    <t>Uly Def Ignore</t>
  </si>
  <si>
    <t>RES PEN</t>
  </si>
  <si>
    <t>SPD Boost</t>
  </si>
  <si>
    <t>Concerto</t>
  </si>
  <si>
    <t>Energy:</t>
  </si>
  <si>
    <t>March Hunt</t>
  </si>
  <si>
    <t>Feixiao</t>
  </si>
  <si>
    <t>Aventurine</t>
  </si>
  <si>
    <t>Turns</t>
  </si>
  <si>
    <t>FuA</t>
  </si>
  <si>
    <t>EB</t>
  </si>
  <si>
    <t>March</t>
  </si>
  <si>
    <t>Seele Stats:</t>
  </si>
  <si>
    <t>FInal Stats</t>
  </si>
  <si>
    <t>Crt Rate</t>
  </si>
  <si>
    <t>Crt Dmg</t>
  </si>
  <si>
    <t>Ult Crt Dmg</t>
  </si>
  <si>
    <t>Skill DMG%</t>
  </si>
  <si>
    <t>DEF Ignore</t>
  </si>
  <si>
    <t>RES Pen</t>
  </si>
  <si>
    <t>Dmg Vul</t>
  </si>
  <si>
    <t>No crit</t>
  </si>
  <si>
    <t>Crit</t>
  </si>
  <si>
    <t>CRT DMG</t>
  </si>
  <si>
    <t>CRT RATE</t>
  </si>
  <si>
    <t>Resurgence</t>
  </si>
  <si>
    <t>Skill Spd</t>
  </si>
  <si>
    <t>Orb</t>
  </si>
  <si>
    <t>Qua</t>
  </si>
  <si>
    <t>Sparkle LC</t>
  </si>
  <si>
    <t>Sparkle E1</t>
  </si>
  <si>
    <t>Fu Xuan Field</t>
  </si>
  <si>
    <t>Fu Xuan E1</t>
  </si>
  <si>
    <t>SW LC</t>
  </si>
  <si>
    <t>Penacony</t>
  </si>
  <si>
    <t>Debuffer:</t>
  </si>
  <si>
    <t>Def Reduction</t>
  </si>
  <si>
    <t>Res Reduction</t>
  </si>
  <si>
    <t>Vulnerability</t>
  </si>
  <si>
    <t>Ult Vulnerability</t>
  </si>
  <si>
    <t>Acheron stats</t>
  </si>
  <si>
    <t>Erie</t>
  </si>
  <si>
    <t>Zolo</t>
  </si>
  <si>
    <t>Harmony</t>
  </si>
  <si>
    <t>Crit Dmg</t>
  </si>
  <si>
    <t>Res shred</t>
  </si>
  <si>
    <t>Jiaoqiu</t>
  </si>
  <si>
    <t>Bronya</t>
  </si>
  <si>
    <t>Pela</t>
  </si>
  <si>
    <t>Sparkle</t>
  </si>
  <si>
    <t>Silver Wolf</t>
  </si>
  <si>
    <t>LC:</t>
  </si>
  <si>
    <t>Dmg%</t>
  </si>
  <si>
    <t>Robin</t>
  </si>
  <si>
    <t>Those Many Springs S1</t>
  </si>
  <si>
    <t>Jiao E1</t>
  </si>
  <si>
    <t>Resolution Shines as Pearls of Sweat S5</t>
  </si>
  <si>
    <t>Incessant Rain S1</t>
  </si>
  <si>
    <t>Nihility Count:</t>
  </si>
  <si>
    <t>Enemy count:</t>
  </si>
  <si>
    <t>SW+Pela</t>
  </si>
  <si>
    <t>Jiao+SW</t>
  </si>
  <si>
    <t>Jiao+Pela</t>
  </si>
  <si>
    <t>Jiao</t>
  </si>
  <si>
    <t>Hanya</t>
  </si>
  <si>
    <t>Non-crit</t>
  </si>
  <si>
    <t>AoE</t>
  </si>
  <si>
    <t>9 Petals</t>
  </si>
  <si>
    <t>Fu Xuan</t>
  </si>
  <si>
    <t>Luocha</t>
  </si>
  <si>
    <t>Moze</t>
  </si>
  <si>
    <t>Bailu</t>
  </si>
  <si>
    <t>Yukong</t>
  </si>
  <si>
    <t>Lynx</t>
  </si>
  <si>
    <t>Tingyun</t>
  </si>
  <si>
    <t>Natasha</t>
  </si>
  <si>
    <t>DATE</t>
  </si>
  <si>
    <t>TARGET</t>
  </si>
  <si>
    <t>Days:</t>
  </si>
  <si>
    <t>Shopping List:</t>
  </si>
  <si>
    <t>Income</t>
  </si>
  <si>
    <t>Days</t>
  </si>
  <si>
    <t>Daily</t>
  </si>
  <si>
    <t>Jade</t>
  </si>
  <si>
    <t xml:space="preserve">Character Pity </t>
  </si>
  <si>
    <t>Seele E2</t>
  </si>
  <si>
    <t>Sim Uni</t>
  </si>
  <si>
    <t>LC Pity</t>
  </si>
  <si>
    <t>Zero</t>
  </si>
  <si>
    <t>MoC/PF/AS</t>
  </si>
  <si>
    <t>Freebies</t>
  </si>
  <si>
    <t>Silver Wolf LC</t>
  </si>
  <si>
    <t>Shiyu</t>
  </si>
  <si>
    <t>Maintenance</t>
  </si>
  <si>
    <t>Current</t>
  </si>
  <si>
    <t>Total</t>
  </si>
  <si>
    <t>Redeems</t>
  </si>
  <si>
    <t>Tick Conversion</t>
  </si>
  <si>
    <t>Final Count</t>
  </si>
  <si>
    <t>Firefly E2</t>
  </si>
  <si>
    <t>Count</t>
  </si>
  <si>
    <t>Events</t>
  </si>
  <si>
    <t>Ruan Mei LC</t>
  </si>
  <si>
    <t>Projected pull session</t>
  </si>
  <si>
    <t>Ruan Mei E1</t>
  </si>
  <si>
    <t>Tapes</t>
  </si>
  <si>
    <t>1st</t>
  </si>
  <si>
    <t xml:space="preserve">2nd </t>
  </si>
  <si>
    <t>3rd</t>
  </si>
  <si>
    <t>4th</t>
  </si>
  <si>
    <t>5th</t>
  </si>
  <si>
    <t>Leftover pulls</t>
  </si>
  <si>
    <t>SW CR and EHR</t>
  </si>
  <si>
    <t>Relic Goals:</t>
  </si>
  <si>
    <t>Caverns</t>
  </si>
  <si>
    <t>Planars</t>
  </si>
  <si>
    <t>Notes:</t>
  </si>
  <si>
    <t>160 spd w/ Penacony</t>
  </si>
  <si>
    <t>Genius/Guard</t>
  </si>
  <si>
    <t>Penacony/Glamoth</t>
  </si>
  <si>
    <t>Sparkle's boots are bad, needs more CDMG</t>
  </si>
  <si>
    <t>HSS/Fleet</t>
  </si>
  <si>
    <t>Penacony Planars are what I need to reach goals</t>
  </si>
  <si>
    <t>7k HP/2k DEF</t>
  </si>
  <si>
    <t>QUA orb for Seele, but unnecessary atm cuz no Sparkle E1</t>
  </si>
  <si>
    <t>70/220 CR</t>
  </si>
  <si>
    <t>HEHE SW chest is good with her LC</t>
  </si>
  <si>
    <t>4.5k atk w/ HSS</t>
  </si>
  <si>
    <t>MoC/PF</t>
  </si>
  <si>
    <t>Seele Calc:</t>
  </si>
  <si>
    <t>Atk on page</t>
  </si>
  <si>
    <t>Etc.</t>
  </si>
  <si>
    <t>Bonuses</t>
  </si>
  <si>
    <t>Final value</t>
  </si>
  <si>
    <t>Jingliu Calc:</t>
  </si>
  <si>
    <t>Atk in state</t>
  </si>
  <si>
    <t>Ally HP</t>
  </si>
  <si>
    <t>Ally Drain</t>
  </si>
  <si>
    <t>Bonus Granted</t>
  </si>
  <si>
    <t>Acheron Calc:</t>
  </si>
  <si>
    <t>Acheron</t>
  </si>
  <si>
    <t>Aventurine Calc:</t>
  </si>
  <si>
    <t>Def on page</t>
  </si>
  <si>
    <t>Luka Calc:</t>
  </si>
  <si>
    <t>Luka</t>
  </si>
  <si>
    <t>Final Value</t>
  </si>
  <si>
    <t>Fire MC:</t>
  </si>
  <si>
    <t>Stelle</t>
  </si>
  <si>
    <t>Def on page:</t>
  </si>
  <si>
    <t>Firefly Calc</t>
  </si>
  <si>
    <t>Base</t>
  </si>
  <si>
    <t>Firefly BE:</t>
  </si>
  <si>
    <t>Subs:</t>
  </si>
  <si>
    <t>Final BE</t>
  </si>
  <si>
    <t>Sub</t>
  </si>
  <si>
    <t>Final</t>
  </si>
  <si>
    <t>Zhu Yuan</t>
  </si>
  <si>
    <t>Promotion Seals</t>
  </si>
  <si>
    <t>Adv</t>
  </si>
  <si>
    <t>Pioneer</t>
  </si>
  <si>
    <t>Chips</t>
  </si>
  <si>
    <t>Per</t>
  </si>
  <si>
    <t>Max</t>
  </si>
  <si>
    <t>Advanced</t>
  </si>
  <si>
    <t>Special</t>
  </si>
  <si>
    <t>Core Skill</t>
  </si>
  <si>
    <t>Living Drive</t>
  </si>
  <si>
    <t>Ethereal Pursuit</t>
  </si>
  <si>
    <t>DEF Multi</t>
  </si>
  <si>
    <t>lvl 40</t>
  </si>
  <si>
    <t>Eff. DEF</t>
  </si>
  <si>
    <t>PEN Ratio</t>
  </si>
  <si>
    <t>Target DEF</t>
  </si>
  <si>
    <t>DEF Reduc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</si>
</sst>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mm/dd/yyyy"/>
  </numFmts>
  <fonts count="20">
    <font>
      <sz val="10.0"/>
      <color rgb="FF000000"/>
      <name val="Arial"/>
      <scheme val="minor"/>
    </font>
    <font>
      <b/>
      <sz val="13.0"/>
      <color theme="1"/>
      <name val="Merriweather"/>
    </font>
    <font/>
    <font>
      <sz val="11.0"/>
      <color theme="1"/>
      <name val="Arial"/>
      <scheme val="minor"/>
    </font>
    <font>
      <color theme="1"/>
      <name val="Arial"/>
      <scheme val="minor"/>
    </font>
    <font>
      <b/>
      <u/>
      <sz val="9.0"/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u/>
      <sz val="11.0"/>
      <color theme="1"/>
      <name val="Arial"/>
    </font>
    <font>
      <color theme="1"/>
      <name val="Arial"/>
    </font>
    <font>
      <b/>
      <u/>
      <sz val="9.0"/>
      <color theme="1"/>
      <name val="Arial"/>
      <scheme val="minor"/>
    </font>
    <font>
      <b/>
      <u/>
      <sz val="9.0"/>
      <color theme="1"/>
      <name val="Arial"/>
    </font>
    <font>
      <b/>
      <u/>
      <sz val="9.0"/>
      <color theme="1"/>
      <name val="Arial"/>
    </font>
    <font>
      <b/>
      <u/>
      <sz val="9.0"/>
      <color theme="1"/>
      <name val="Arial"/>
    </font>
    <font>
      <color rgb="FF000000"/>
      <name val="Arial"/>
    </font>
    <font>
      <b/>
      <sz val="13.0"/>
      <color theme="1"/>
      <name val="Arial"/>
      <scheme val="minor"/>
    </font>
    <font>
      <sz val="13.0"/>
      <color theme="1"/>
      <name val="Merriweather"/>
    </font>
    <font>
      <b/>
      <sz val="12.0"/>
      <color theme="1"/>
      <name val="Merriweather"/>
    </font>
    <font>
      <sz val="12.0"/>
      <color rgb="FF1E1E1E"/>
      <name val="&quot;Segoe UI&quot;"/>
    </font>
  </fonts>
  <fills count="23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46BDC6"/>
        <bgColor rgb="FF46BDC6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95C4"/>
        <bgColor rgb="FFFF95C4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8E7CC3"/>
        <bgColor rgb="FF8E7CC3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2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4" fillId="3" fontId="3" numFmtId="10" xfId="0" applyAlignment="1" applyBorder="1" applyFill="1" applyFont="1" applyNumberFormat="1">
      <alignment horizontal="center" readingOrder="0"/>
    </xf>
    <xf borderId="5" fillId="0" fontId="5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/>
    </xf>
    <xf borderId="6" fillId="0" fontId="2" numFmtId="0" xfId="0" applyBorder="1" applyFont="1"/>
    <xf borderId="4" fillId="4" fontId="6" numFmtId="0" xfId="0" applyAlignment="1" applyBorder="1" applyFill="1" applyFont="1">
      <alignment horizontal="center"/>
    </xf>
    <xf borderId="4" fillId="0" fontId="7" numFmtId="0" xfId="0" applyAlignment="1" applyBorder="1" applyFont="1">
      <alignment horizontal="center" readingOrder="0"/>
    </xf>
    <xf borderId="7" fillId="0" fontId="2" numFmtId="0" xfId="0" applyBorder="1" applyFont="1"/>
    <xf borderId="4" fillId="5" fontId="6" numFmtId="0" xfId="0" applyAlignment="1" applyBorder="1" applyFill="1" applyFont="1">
      <alignment horizontal="center"/>
    </xf>
    <xf borderId="4" fillId="4" fontId="8" numFmtId="0" xfId="0" applyAlignment="1" applyBorder="1" applyFont="1">
      <alignment horizontal="center"/>
    </xf>
    <xf borderId="0" fillId="6" fontId="4" numFmtId="0" xfId="0" applyAlignment="1" applyFill="1" applyFont="1">
      <alignment readingOrder="0" vertical="center"/>
    </xf>
    <xf borderId="0" fillId="0" fontId="4" numFmtId="0" xfId="0" applyAlignment="1" applyFont="1">
      <alignment readingOrder="0" vertical="center"/>
    </xf>
    <xf borderId="4" fillId="0" fontId="9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4" fillId="0" fontId="10" numFmtId="0" xfId="0" applyAlignment="1" applyBorder="1" applyFont="1">
      <alignment horizontal="center" readingOrder="0"/>
    </xf>
    <xf borderId="4" fillId="4" fontId="8" numFmtId="0" xfId="0" applyAlignment="1" applyBorder="1" applyFont="1">
      <alignment horizontal="center"/>
    </xf>
    <xf borderId="5" fillId="0" fontId="11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bottom"/>
    </xf>
    <xf borderId="3" fillId="7" fontId="7" numFmtId="0" xfId="0" applyAlignment="1" applyBorder="1" applyFill="1" applyFont="1">
      <alignment horizontal="center" vertical="bottom"/>
    </xf>
    <xf borderId="3" fillId="0" fontId="10" numFmtId="0" xfId="0" applyAlignment="1" applyBorder="1" applyFont="1">
      <alignment horizontal="center" vertical="bottom"/>
    </xf>
    <xf borderId="8" fillId="0" fontId="10" numFmtId="0" xfId="0" applyAlignment="1" applyBorder="1" applyFont="1">
      <alignment horizontal="center" vertical="bottom"/>
    </xf>
    <xf borderId="8" fillId="5" fontId="7" numFmtId="0" xfId="0" applyAlignment="1" applyBorder="1" applyFont="1">
      <alignment horizontal="center" vertical="bottom"/>
    </xf>
    <xf borderId="8" fillId="0" fontId="10" numFmtId="0" xfId="0" applyAlignment="1" applyBorder="1" applyFont="1">
      <alignment horizontal="center" readingOrder="0" vertical="bottom"/>
    </xf>
    <xf borderId="8" fillId="7" fontId="7" numFmtId="0" xfId="0" applyAlignment="1" applyBorder="1" applyFont="1">
      <alignment horizontal="center" vertical="bottom"/>
    </xf>
    <xf borderId="0" fillId="4" fontId="3" numFmtId="10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6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vertical="bottom"/>
    </xf>
    <xf borderId="4" fillId="2" fontId="7" numFmtId="0" xfId="0" applyAlignment="1" applyBorder="1" applyFont="1">
      <alignment horizontal="center" readingOrder="0" vertical="bottom"/>
    </xf>
    <xf borderId="1" fillId="4" fontId="8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vertical="bottom"/>
    </xf>
    <xf borderId="4" fillId="8" fontId="7" numFmtId="10" xfId="0" applyAlignment="1" applyBorder="1" applyFill="1" applyFont="1" applyNumberFormat="1">
      <alignment horizontal="center" vertical="bottom"/>
    </xf>
    <xf borderId="4" fillId="0" fontId="7" numFmtId="0" xfId="0" applyAlignment="1" applyBorder="1" applyFont="1">
      <alignment horizontal="center" vertical="bottom"/>
    </xf>
    <xf borderId="5" fillId="0" fontId="12" numFmtId="0" xfId="0" applyAlignment="1" applyBorder="1" applyFont="1">
      <alignment horizontal="center" vertical="center"/>
    </xf>
    <xf borderId="4" fillId="7" fontId="7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/>
    </xf>
    <xf borderId="5" fillId="0" fontId="13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vertical="bottom"/>
    </xf>
    <xf borderId="3" fillId="8" fontId="7" numFmtId="10" xfId="0" applyAlignment="1" applyBorder="1" applyFont="1" applyNumberFormat="1">
      <alignment horizontal="center" vertical="bottom"/>
    </xf>
    <xf borderId="6" fillId="0" fontId="7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center" vertical="bottom"/>
    </xf>
    <xf borderId="7" fillId="0" fontId="14" numFmtId="0" xfId="0" applyAlignment="1" applyBorder="1" applyFont="1">
      <alignment horizontal="center" vertical="center"/>
    </xf>
    <xf borderId="3" fillId="4" fontId="8" numFmtId="0" xfId="0" applyAlignment="1" applyBorder="1" applyFont="1">
      <alignment horizontal="center"/>
    </xf>
    <xf borderId="1" fillId="0" fontId="4" numFmtId="0" xfId="0" applyBorder="1" applyFont="1"/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4" fontId="4" numFmtId="10" xfId="0" applyAlignment="1" applyFont="1" applyNumberFormat="1">
      <alignment readingOrder="0"/>
    </xf>
    <xf borderId="0" fillId="4" fontId="4" numFmtId="0" xfId="0" applyFont="1"/>
    <xf borderId="1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readingOrder="0"/>
    </xf>
    <xf borderId="10" fillId="0" fontId="4" numFmtId="2" xfId="0" applyBorder="1" applyFont="1" applyNumberFormat="1"/>
    <xf borderId="11" fillId="0" fontId="4" numFmtId="0" xfId="0" applyAlignment="1" applyBorder="1" applyFont="1">
      <alignment readingOrder="0"/>
    </xf>
    <xf borderId="12" fillId="0" fontId="4" numFmtId="0" xfId="0" applyBorder="1" applyFont="1"/>
    <xf borderId="0" fillId="0" fontId="4" numFmtId="10" xfId="0" applyFont="1" applyNumberFormat="1"/>
    <xf borderId="0" fillId="0" fontId="4" numFmtId="0" xfId="0" applyFont="1"/>
    <xf borderId="0" fillId="7" fontId="4" numFmtId="0" xfId="0" applyAlignment="1" applyFont="1">
      <alignment readingOrder="0"/>
    </xf>
    <xf borderId="0" fillId="7" fontId="4" numFmtId="0" xfId="0" applyFont="1"/>
    <xf borderId="0" fillId="4" fontId="4" numFmtId="1" xfId="0" applyFont="1" applyNumberFormat="1"/>
    <xf borderId="0" fillId="9" fontId="4" numFmtId="0" xfId="0" applyAlignment="1" applyFill="1" applyFont="1">
      <alignment readingOrder="0"/>
    </xf>
    <xf borderId="12" fillId="0" fontId="4" numFmtId="164" xfId="0" applyAlignment="1" applyBorder="1" applyFont="1" applyNumberFormat="1">
      <alignment readingOrder="0"/>
    </xf>
    <xf borderId="12" fillId="4" fontId="4" numFmtId="10" xfId="0" applyBorder="1" applyFont="1" applyNumberFormat="1"/>
    <xf borderId="12" fillId="0" fontId="4" numFmtId="9" xfId="0" applyBorder="1" applyFont="1" applyNumberFormat="1"/>
    <xf borderId="12" fillId="0" fontId="4" numFmtId="10" xfId="0" applyBorder="1" applyFont="1" applyNumberFormat="1"/>
    <xf borderId="0" fillId="7" fontId="4" numFmtId="9" xfId="0" applyAlignment="1" applyFont="1" applyNumberFormat="1">
      <alignment readingOrder="0"/>
    </xf>
    <xf borderId="0" fillId="9" fontId="4" numFmtId="10" xfId="0" applyAlignment="1" applyFont="1" applyNumberFormat="1">
      <alignment readingOrder="0"/>
    </xf>
    <xf borderId="13" fillId="0" fontId="4" numFmtId="0" xfId="0" applyAlignment="1" applyBorder="1" applyFont="1">
      <alignment readingOrder="0"/>
    </xf>
    <xf borderId="8" fillId="0" fontId="4" numFmtId="9" xfId="0" applyBorder="1" applyFont="1" applyNumberFormat="1"/>
    <xf borderId="8" fillId="0" fontId="4" numFmtId="10" xfId="0" applyBorder="1" applyFont="1" applyNumberFormat="1"/>
    <xf borderId="0" fillId="7" fontId="4" numFmtId="10" xfId="0" applyAlignment="1" applyFont="1" applyNumberFormat="1">
      <alignment readingOrder="0"/>
    </xf>
    <xf borderId="0" fillId="6" fontId="4" numFmtId="10" xfId="0" applyAlignment="1" applyFont="1" applyNumberFormat="1">
      <alignment readingOrder="0"/>
    </xf>
    <xf borderId="0" fillId="6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10" fontId="4" numFmtId="0" xfId="0" applyAlignment="1" applyFill="1" applyFont="1">
      <alignment readingOrder="0"/>
    </xf>
    <xf borderId="9" fillId="11" fontId="4" numFmtId="0" xfId="0" applyAlignment="1" applyBorder="1" applyFill="1" applyFont="1">
      <alignment readingOrder="0"/>
    </xf>
    <xf borderId="14" fillId="0" fontId="2" numFmtId="0" xfId="0" applyBorder="1" applyFont="1"/>
    <xf borderId="14" fillId="12" fontId="4" numFmtId="0" xfId="0" applyAlignment="1" applyBorder="1" applyFill="1" applyFont="1">
      <alignment readingOrder="0"/>
    </xf>
    <xf borderId="14" fillId="12" fontId="4" numFmtId="0" xfId="0" applyBorder="1" applyFont="1"/>
    <xf borderId="14" fillId="0" fontId="4" numFmtId="0" xfId="0" applyBorder="1" applyFont="1"/>
    <xf borderId="14" fillId="0" fontId="4" numFmtId="0" xfId="0" applyAlignment="1" applyBorder="1" applyFont="1">
      <alignment readingOrder="0"/>
    </xf>
    <xf borderId="10" fillId="0" fontId="4" numFmtId="0" xfId="0" applyBorder="1" applyFont="1"/>
    <xf borderId="11" fillId="12" fontId="4" numFmtId="0" xfId="0" applyAlignment="1" applyBorder="1" applyFont="1">
      <alignment readingOrder="0"/>
    </xf>
    <xf borderId="5" fillId="7" fontId="4" numFmtId="0" xfId="0" applyAlignment="1" applyBorder="1" applyFont="1">
      <alignment readingOrder="0"/>
    </xf>
    <xf borderId="4" fillId="6" fontId="4" numFmtId="0" xfId="0" applyAlignment="1" applyBorder="1" applyFont="1">
      <alignment readingOrder="0"/>
    </xf>
    <xf borderId="4" fillId="10" fontId="4" numFmtId="0" xfId="0" applyAlignment="1" applyBorder="1" applyFont="1">
      <alignment readingOrder="0"/>
    </xf>
    <xf borderId="4" fillId="9" fontId="4" numFmtId="0" xfId="0" applyAlignment="1" applyBorder="1" applyFont="1">
      <alignment readingOrder="0"/>
    </xf>
    <xf borderId="12" fillId="7" fontId="4" numFmtId="0" xfId="0" applyAlignment="1" applyBorder="1" applyFont="1">
      <alignment readingOrder="0"/>
    </xf>
    <xf borderId="5" fillId="7" fontId="4" numFmtId="1" xfId="0" applyBorder="1" applyFont="1" applyNumberFormat="1"/>
    <xf borderId="10" fillId="6" fontId="4" numFmtId="1" xfId="0" applyBorder="1" applyFont="1" applyNumberFormat="1"/>
    <xf borderId="5" fillId="10" fontId="4" numFmtId="1" xfId="0" applyBorder="1" applyFont="1" applyNumberFormat="1"/>
    <xf borderId="5" fillId="9" fontId="4" numFmtId="1" xfId="0" applyBorder="1" applyFont="1" applyNumberFormat="1"/>
    <xf borderId="12" fillId="6" fontId="4" numFmtId="0" xfId="0" applyAlignment="1" applyBorder="1" applyFont="1">
      <alignment readingOrder="0"/>
    </xf>
    <xf borderId="7" fillId="7" fontId="4" numFmtId="1" xfId="0" applyBorder="1" applyFont="1" applyNumberFormat="1"/>
    <xf borderId="8" fillId="6" fontId="4" numFmtId="1" xfId="0" applyBorder="1" applyFont="1" applyNumberFormat="1"/>
    <xf borderId="6" fillId="10" fontId="4" numFmtId="1" xfId="0" applyBorder="1" applyFont="1" applyNumberFormat="1"/>
    <xf borderId="6" fillId="9" fontId="4" numFmtId="1" xfId="0" applyBorder="1" applyFont="1" applyNumberFormat="1"/>
    <xf borderId="12" fillId="9" fontId="4" numFmtId="0" xfId="0" applyAlignment="1" applyBorder="1" applyFont="1">
      <alignment readingOrder="0"/>
    </xf>
    <xf borderId="11" fillId="7" fontId="4" numFmtId="0" xfId="0" applyAlignment="1" applyBorder="1" applyFont="1">
      <alignment readingOrder="0"/>
    </xf>
    <xf borderId="6" fillId="7" fontId="4" numFmtId="1" xfId="0" applyBorder="1" applyFont="1" applyNumberFormat="1"/>
    <xf borderId="12" fillId="10" fontId="4" numFmtId="0" xfId="0" applyAlignment="1" applyBorder="1" applyFont="1">
      <alignment readingOrder="0"/>
    </xf>
    <xf borderId="12" fillId="12" fontId="0" numFmtId="0" xfId="0" applyAlignment="1" applyBorder="1" applyFont="1">
      <alignment readingOrder="0"/>
    </xf>
    <xf borderId="0" fillId="0" fontId="4" numFmtId="1" xfId="0" applyFont="1" applyNumberFormat="1"/>
    <xf borderId="12" fillId="0" fontId="4" numFmtId="0" xfId="0" applyAlignment="1" applyBorder="1" applyFont="1">
      <alignment readingOrder="0"/>
    </xf>
    <xf borderId="11" fillId="13" fontId="4" numFmtId="0" xfId="0" applyAlignment="1" applyBorder="1" applyFill="1" applyFont="1">
      <alignment readingOrder="0"/>
    </xf>
    <xf borderId="11" fillId="10" fontId="4" numFmtId="0" xfId="0" applyAlignment="1" applyBorder="1" applyFont="1">
      <alignment readingOrder="0"/>
    </xf>
    <xf borderId="0" fillId="10" fontId="4" numFmtId="1" xfId="0" applyFont="1" applyNumberFormat="1"/>
    <xf borderId="11" fillId="14" fontId="4" numFmtId="0" xfId="0" applyAlignment="1" applyBorder="1" applyFill="1" applyFont="1">
      <alignment readingOrder="0"/>
    </xf>
    <xf borderId="0" fillId="14" fontId="4" numFmtId="0" xfId="0" applyFont="1"/>
    <xf borderId="11" fillId="9" fontId="4" numFmtId="0" xfId="0" applyAlignment="1" applyBorder="1" applyFont="1">
      <alignment readingOrder="0"/>
    </xf>
    <xf borderId="0" fillId="9" fontId="4" numFmtId="10" xfId="0" applyFont="1" applyNumberFormat="1"/>
    <xf borderId="13" fillId="9" fontId="4" numFmtId="0" xfId="0" applyAlignment="1" applyBorder="1" applyFont="1">
      <alignment readingOrder="0"/>
    </xf>
    <xf borderId="15" fillId="9" fontId="4" numFmtId="1" xfId="0" applyBorder="1" applyFont="1" applyNumberFormat="1"/>
    <xf borderId="15" fillId="0" fontId="4" numFmtId="0" xfId="0" applyBorder="1" applyFont="1"/>
    <xf borderId="15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0" fillId="4" fontId="15" numFmtId="0" xfId="0" applyAlignment="1" applyFont="1">
      <alignment horizontal="left" readingOrder="0"/>
    </xf>
    <xf borderId="1" fillId="0" fontId="16" numFmtId="0" xfId="0" applyAlignment="1" applyBorder="1" applyFont="1">
      <alignment horizontal="center" readingOrder="0"/>
    </xf>
    <xf borderId="0" fillId="15" fontId="4" numFmtId="0" xfId="0" applyAlignment="1" applyFill="1" applyFont="1">
      <alignment readingOrder="0"/>
    </xf>
    <xf borderId="14" fillId="16" fontId="4" numFmtId="0" xfId="0" applyAlignment="1" applyBorder="1" applyFill="1" applyFont="1">
      <alignment readingOrder="0"/>
    </xf>
    <xf borderId="10" fillId="16" fontId="4" numFmtId="0" xfId="0" applyAlignment="1" applyBorder="1" applyFont="1">
      <alignment readingOrder="0"/>
    </xf>
    <xf borderId="1" fillId="9" fontId="4" numFmtId="0" xfId="0" applyAlignment="1" applyBorder="1" applyFont="1">
      <alignment readingOrder="0"/>
    </xf>
    <xf borderId="1" fillId="10" fontId="4" numFmtId="0" xfId="0" applyAlignment="1" applyBorder="1" applyFont="1">
      <alignment readingOrder="0"/>
    </xf>
    <xf borderId="0" fillId="0" fontId="4" numFmtId="4" xfId="0" applyAlignment="1" applyFont="1" applyNumberFormat="1">
      <alignment readingOrder="0"/>
    </xf>
    <xf borderId="12" fillId="0" fontId="4" numFmtId="4" xfId="0" applyAlignment="1" applyBorder="1" applyFont="1" applyNumberFormat="1">
      <alignment readingOrder="0"/>
    </xf>
    <xf borderId="15" fillId="0" fontId="4" numFmtId="4" xfId="0" applyAlignment="1" applyBorder="1" applyFont="1" applyNumberFormat="1">
      <alignment readingOrder="0"/>
    </xf>
    <xf borderId="8" fillId="0" fontId="4" numFmtId="4" xfId="0" applyAlignment="1" applyBorder="1" applyFont="1" applyNumberFormat="1">
      <alignment readingOrder="0"/>
    </xf>
    <xf borderId="0" fillId="0" fontId="4" numFmtId="9" xfId="0" applyFont="1" applyNumberFormat="1"/>
    <xf borderId="0" fillId="0" fontId="4" numFmtId="4" xfId="0" applyFont="1" applyNumberFormat="1"/>
    <xf borderId="1" fillId="11" fontId="4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10" fillId="4" fontId="4" numFmtId="0" xfId="0" applyBorder="1" applyFont="1"/>
    <xf borderId="11" fillId="0" fontId="4" numFmtId="0" xfId="0" applyBorder="1" applyFont="1"/>
    <xf borderId="0" fillId="17" fontId="4" numFmtId="0" xfId="0" applyAlignment="1" applyFill="1" applyFont="1">
      <alignment readingOrder="0"/>
    </xf>
    <xf borderId="12" fillId="18" fontId="4" numFmtId="0" xfId="0" applyAlignment="1" applyBorder="1" applyFill="1" applyFont="1">
      <alignment readingOrder="0"/>
    </xf>
    <xf borderId="0" fillId="19" fontId="4" numFmtId="0" xfId="0" applyFill="1" applyFont="1"/>
    <xf borderId="12" fillId="0" fontId="4" numFmtId="1" xfId="0" applyBorder="1" applyFont="1" applyNumberFormat="1"/>
    <xf borderId="12" fillId="19" fontId="4" numFmtId="0" xfId="0" applyBorder="1" applyFont="1"/>
    <xf borderId="12" fillId="0" fontId="2" numFmtId="0" xfId="0" applyBorder="1" applyFont="1"/>
    <xf borderId="0" fillId="0" fontId="4" numFmtId="1" xfId="0" applyAlignment="1" applyFont="1" applyNumberFormat="1">
      <alignment readingOrder="0"/>
    </xf>
    <xf borderId="15" fillId="0" fontId="4" numFmtId="1" xfId="0" applyBorder="1" applyFont="1" applyNumberFormat="1"/>
    <xf borderId="8" fillId="0" fontId="4" numFmtId="1" xfId="0" applyBorder="1" applyFont="1" applyNumberFormat="1"/>
    <xf borderId="0" fillId="19" fontId="4" numFmtId="0" xfId="0" applyAlignment="1" applyFont="1">
      <alignment readingOrder="0"/>
    </xf>
    <xf borderId="12" fillId="0" fontId="4" numFmtId="2" xfId="0" applyBorder="1" applyFont="1" applyNumberFormat="1"/>
    <xf borderId="0" fillId="20" fontId="4" numFmtId="0" xfId="0" applyAlignment="1" applyFill="1" applyFont="1">
      <alignment readingOrder="0"/>
    </xf>
    <xf borderId="0" fillId="20" fontId="4" numFmtId="0" xfId="0" applyFont="1"/>
    <xf borderId="0" fillId="20" fontId="4" numFmtId="4" xfId="0" applyAlignment="1" applyFont="1" applyNumberFormat="1">
      <alignment readingOrder="0"/>
    </xf>
    <xf borderId="0" fillId="19" fontId="4" numFmtId="4" xfId="0" applyAlignment="1" applyFont="1" applyNumberFormat="1">
      <alignment readingOrder="0"/>
    </xf>
    <xf borderId="12" fillId="0" fontId="4" numFmtId="10" xfId="0" applyAlignment="1" applyBorder="1" applyFont="1" applyNumberFormat="1">
      <alignment readingOrder="0"/>
    </xf>
    <xf borderId="0" fillId="20" fontId="4" numFmtId="4" xfId="0" applyFont="1" applyNumberFormat="1"/>
    <xf borderId="0" fillId="4" fontId="4" numFmtId="4" xfId="0" applyAlignment="1" applyFont="1" applyNumberFormat="1">
      <alignment readingOrder="0"/>
    </xf>
    <xf borderId="0" fillId="20" fontId="4" numFmtId="0" xfId="0" applyFont="1"/>
    <xf borderId="0" fillId="21" fontId="4" numFmtId="0" xfId="0" applyAlignment="1" applyFill="1" applyFont="1">
      <alignment readingOrder="0"/>
    </xf>
    <xf borderId="0" fillId="0" fontId="4" numFmtId="0" xfId="0" applyFont="1"/>
    <xf borderId="0" fillId="19" fontId="4" numFmtId="0" xfId="0" applyFont="1"/>
    <xf borderId="0" fillId="21" fontId="4" numFmtId="4" xfId="0" applyAlignment="1" applyFont="1" applyNumberFormat="1">
      <alignment readingOrder="0"/>
    </xf>
    <xf borderId="10" fillId="0" fontId="4" numFmtId="0" xfId="0" applyAlignment="1" applyBorder="1" applyFont="1">
      <alignment readingOrder="0"/>
    </xf>
    <xf borderId="15" fillId="0" fontId="4" numFmtId="10" xfId="0" applyBorder="1" applyFont="1" applyNumberFormat="1"/>
    <xf borderId="15" fillId="0" fontId="2" numFmtId="0" xfId="0" applyBorder="1" applyFont="1"/>
    <xf borderId="8" fillId="0" fontId="2" numFmtId="0" xfId="0" applyBorder="1" applyFont="1"/>
    <xf borderId="1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11" fillId="0" fontId="4" numFmtId="1" xfId="0" applyBorder="1" applyFont="1" applyNumberFormat="1"/>
    <xf borderId="13" fillId="0" fontId="4" numFmtId="1" xfId="0" applyBorder="1" applyFont="1" applyNumberFormat="1"/>
    <xf borderId="9" fillId="0" fontId="4" numFmtId="1" xfId="0" applyAlignment="1" applyBorder="1" applyFont="1" applyNumberFormat="1">
      <alignment readingOrder="0"/>
    </xf>
    <xf borderId="14" fillId="0" fontId="4" numFmtId="1" xfId="0" applyAlignment="1" applyBorder="1" applyFont="1" applyNumberFormat="1">
      <alignment readingOrder="0"/>
    </xf>
    <xf borderId="10" fillId="0" fontId="4" numFmtId="1" xfId="0" applyAlignment="1" applyBorder="1" applyFont="1" applyNumberFormat="1">
      <alignment readingOrder="0"/>
    </xf>
    <xf borderId="9" fillId="0" fontId="17" numFmtId="0" xfId="0" applyAlignment="1" applyBorder="1" applyFont="1">
      <alignment horizontal="center" readingOrder="0"/>
    </xf>
    <xf borderId="14" fillId="0" fontId="18" numFmtId="14" xfId="0" applyAlignment="1" applyBorder="1" applyFont="1" applyNumberFormat="1">
      <alignment horizontal="center" readingOrder="0"/>
    </xf>
    <xf borderId="14" fillId="0" fontId="17" numFmtId="0" xfId="0" applyAlignment="1" applyBorder="1" applyFont="1">
      <alignment horizontal="center" readingOrder="0"/>
    </xf>
    <xf borderId="0" fillId="0" fontId="18" numFmtId="165" xfId="0" applyAlignment="1" applyFont="1" applyNumberFormat="1">
      <alignment horizontal="center" readingOrder="0"/>
    </xf>
    <xf borderId="14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0" fillId="22" fontId="4" numFmtId="0" xfId="0" applyBorder="1" applyFill="1" applyFont="1"/>
    <xf borderId="0" fillId="0" fontId="4" numFmtId="14" xfId="0" applyFont="1" applyNumberFormat="1"/>
    <xf borderId="0" fillId="5" fontId="4" numFmtId="0" xfId="0" applyFont="1"/>
    <xf borderId="0" fillId="5" fontId="4" numFmtId="0" xfId="0" applyAlignment="1" applyFont="1">
      <alignment readingOrder="0"/>
    </xf>
    <xf borderId="12" fillId="5" fontId="4" numFmtId="0" xfId="0" applyBorder="1" applyFont="1"/>
    <xf borderId="0" fillId="0" fontId="4" numFmtId="165" xfId="0" applyAlignment="1" applyFont="1" applyNumberFormat="1">
      <alignment readingOrder="0"/>
    </xf>
    <xf borderId="0" fillId="9" fontId="4" numFmtId="0" xfId="0" applyFont="1"/>
    <xf borderId="7" fillId="0" fontId="4" numFmtId="0" xfId="0" applyAlignment="1" applyBorder="1" applyFont="1">
      <alignment readingOrder="0"/>
    </xf>
    <xf borderId="7" fillId="0" fontId="4" numFmtId="0" xfId="0" applyBorder="1" applyFont="1"/>
    <xf borderId="8" fillId="4" fontId="4" numFmtId="0" xfId="0" applyBorder="1" applyFont="1"/>
    <xf borderId="6" fillId="4" fontId="4" numFmtId="0" xfId="0" applyBorder="1" applyFont="1"/>
    <xf borderId="0" fillId="4" fontId="19" numFmtId="0" xfId="0" applyFont="1"/>
    <xf borderId="0" fillId="11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>
        <color theme="1"/>
      </font>
      <fill>
        <patternFill patternType="solid">
          <fgColor rgb="FFEA9999"/>
          <bgColor rgb="FFEA9999"/>
        </patternFill>
      </fill>
      <border/>
    </dxf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>
        <v>130.0</v>
      </c>
      <c r="C2" s="6"/>
      <c r="D2" s="2"/>
      <c r="E2" s="2"/>
      <c r="F2" s="3"/>
      <c r="G2" s="7"/>
    </row>
    <row r="3">
      <c r="A3" s="8" t="s">
        <v>2</v>
      </c>
      <c r="B3" s="3"/>
      <c r="C3" s="9">
        <v>0.0</v>
      </c>
      <c r="D3" s="9">
        <v>0.05</v>
      </c>
      <c r="E3" s="9">
        <v>0.194</v>
      </c>
      <c r="F3" s="9">
        <v>0.244</v>
      </c>
    </row>
    <row r="4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>
      <c r="A5" s="10" t="s">
        <v>5</v>
      </c>
      <c r="B5" s="4" t="s">
        <v>9</v>
      </c>
      <c r="C5" s="11">
        <f t="shared" ref="C5:F5" si="1">(5+5+30+5+20+5+30)*(1+C3)</f>
        <v>100</v>
      </c>
      <c r="D5" s="11">
        <f t="shared" si="1"/>
        <v>105</v>
      </c>
      <c r="E5" s="11">
        <f t="shared" si="1"/>
        <v>119.4</v>
      </c>
      <c r="F5" s="11">
        <f t="shared" si="1"/>
        <v>124.4</v>
      </c>
    </row>
    <row r="6">
      <c r="A6" s="12"/>
      <c r="B6" s="4" t="s">
        <v>10</v>
      </c>
      <c r="C6" s="4">
        <f t="shared" ref="C6:F6" si="2">(5+5+20+5+30+20)*(1+C3)</f>
        <v>85</v>
      </c>
      <c r="D6" s="4">
        <f t="shared" si="2"/>
        <v>89.25</v>
      </c>
      <c r="E6" s="4">
        <f t="shared" si="2"/>
        <v>101.49</v>
      </c>
      <c r="F6" s="4">
        <f t="shared" si="2"/>
        <v>105.74</v>
      </c>
    </row>
    <row r="7">
      <c r="A7" s="10" t="s">
        <v>11</v>
      </c>
      <c r="B7" s="4" t="s">
        <v>9</v>
      </c>
      <c r="C7" s="13">
        <f t="shared" ref="C7:F7" si="3">(5+5+30+5+20+7+5+30)*(1+C3)</f>
        <v>107</v>
      </c>
      <c r="D7" s="13">
        <f t="shared" si="3"/>
        <v>112.35</v>
      </c>
      <c r="E7" s="13">
        <f t="shared" si="3"/>
        <v>127.758</v>
      </c>
      <c r="F7" s="13">
        <f t="shared" si="3"/>
        <v>133.108</v>
      </c>
    </row>
    <row r="8">
      <c r="A8" s="12"/>
      <c r="B8" s="4" t="s">
        <v>10</v>
      </c>
      <c r="C8" s="13">
        <f t="shared" ref="C8:F8" si="4">(5+5+20+7+5+30+5+20+7)*(1+C3)</f>
        <v>104</v>
      </c>
      <c r="D8" s="13">
        <f t="shared" si="4"/>
        <v>109.2</v>
      </c>
      <c r="E8" s="13">
        <f t="shared" si="4"/>
        <v>124.176</v>
      </c>
      <c r="F8" s="13">
        <f t="shared" si="4"/>
        <v>129.376</v>
      </c>
    </row>
    <row r="9">
      <c r="A9" s="10" t="s">
        <v>12</v>
      </c>
      <c r="B9" s="4" t="s">
        <v>9</v>
      </c>
      <c r="C9" s="13">
        <f t="shared" ref="C9:F9" si="5">(5+5+30+5+20+8+5+30)*(1+C3)</f>
        <v>108</v>
      </c>
      <c r="D9" s="13">
        <f t="shared" si="5"/>
        <v>113.4</v>
      </c>
      <c r="E9" s="13">
        <f t="shared" si="5"/>
        <v>128.952</v>
      </c>
      <c r="F9" s="13">
        <f t="shared" si="5"/>
        <v>134.352</v>
      </c>
    </row>
    <row r="10">
      <c r="A10" s="12"/>
      <c r="B10" s="4" t="s">
        <v>10</v>
      </c>
      <c r="C10" s="13">
        <f t="shared" ref="C10:F10" si="6">(5+5+20+8+5+30+5+20+8)*(1+C3)</f>
        <v>106</v>
      </c>
      <c r="D10" s="13">
        <f t="shared" si="6"/>
        <v>111.3</v>
      </c>
      <c r="E10" s="13">
        <f t="shared" si="6"/>
        <v>126.564</v>
      </c>
      <c r="F10" s="13">
        <f t="shared" si="6"/>
        <v>131.864</v>
      </c>
    </row>
    <row r="12">
      <c r="A12" s="1" t="s">
        <v>13</v>
      </c>
      <c r="B12" s="2"/>
      <c r="C12" s="2"/>
      <c r="D12" s="2"/>
      <c r="E12" s="2"/>
      <c r="F12" s="3"/>
    </row>
    <row r="13">
      <c r="A13" s="4" t="s">
        <v>1</v>
      </c>
      <c r="B13" s="5">
        <v>110.0</v>
      </c>
      <c r="C13" s="6"/>
      <c r="D13" s="2"/>
      <c r="E13" s="2"/>
      <c r="F13" s="3"/>
    </row>
    <row r="14">
      <c r="A14" s="8" t="s">
        <v>2</v>
      </c>
      <c r="B14" s="3"/>
      <c r="C14" s="9">
        <v>0.0</v>
      </c>
      <c r="D14" s="9">
        <v>0.05</v>
      </c>
      <c r="E14" s="9">
        <v>0.194</v>
      </c>
      <c r="F14" s="9">
        <v>0.244</v>
      </c>
    </row>
    <row r="15">
      <c r="A15" s="4" t="s">
        <v>3</v>
      </c>
      <c r="B15" s="4" t="s">
        <v>4</v>
      </c>
      <c r="C15" s="4" t="s">
        <v>5</v>
      </c>
      <c r="D15" s="4" t="s">
        <v>6</v>
      </c>
      <c r="E15" s="4" t="s">
        <v>7</v>
      </c>
      <c r="F15" s="4" t="s">
        <v>8</v>
      </c>
    </row>
    <row r="16">
      <c r="A16" s="10" t="s">
        <v>5</v>
      </c>
      <c r="B16" s="14" t="s">
        <v>14</v>
      </c>
      <c r="C16" s="11">
        <f t="shared" ref="C16:F16" si="7">(5+30+20+20)*(1+C14)</f>
        <v>75</v>
      </c>
      <c r="D16" s="11">
        <f t="shared" si="7"/>
        <v>78.75</v>
      </c>
      <c r="E16" s="11">
        <f t="shared" si="7"/>
        <v>89.55</v>
      </c>
      <c r="F16" s="11">
        <f t="shared" si="7"/>
        <v>93.3</v>
      </c>
    </row>
    <row r="17">
      <c r="A17" s="12"/>
      <c r="B17" s="14" t="s">
        <v>15</v>
      </c>
      <c r="C17" s="4">
        <f t="shared" ref="C17:F17" si="8">(5+20+20+20)*(1+C14)</f>
        <v>65</v>
      </c>
      <c r="D17" s="4">
        <f t="shared" si="8"/>
        <v>68.25</v>
      </c>
      <c r="E17" s="4">
        <f t="shared" si="8"/>
        <v>77.61</v>
      </c>
      <c r="F17" s="4">
        <f t="shared" si="8"/>
        <v>80.86</v>
      </c>
    </row>
    <row r="18">
      <c r="A18" s="10" t="s">
        <v>16</v>
      </c>
      <c r="B18" s="14" t="s">
        <v>17</v>
      </c>
      <c r="C18" s="13">
        <f t="shared" ref="C18:F18" si="9">(5+30+8+20+8)*(1+C14)</f>
        <v>71</v>
      </c>
      <c r="D18" s="13">
        <f t="shared" si="9"/>
        <v>74.55</v>
      </c>
      <c r="E18" s="13">
        <f t="shared" si="9"/>
        <v>84.774</v>
      </c>
      <c r="F18" s="13">
        <f t="shared" si="9"/>
        <v>88.324</v>
      </c>
    </row>
    <row r="19">
      <c r="A19" s="15"/>
      <c r="B19" s="14" t="s">
        <v>14</v>
      </c>
      <c r="C19" s="13">
        <f t="shared" ref="C19:F19" si="10">(5+30+8+20+8+20+8)*(1+C14)</f>
        <v>99</v>
      </c>
      <c r="D19" s="13">
        <f t="shared" si="10"/>
        <v>103.95</v>
      </c>
      <c r="E19" s="13">
        <f t="shared" si="10"/>
        <v>118.206</v>
      </c>
      <c r="F19" s="16">
        <f t="shared" si="10"/>
        <v>123.156</v>
      </c>
    </row>
    <row r="20">
      <c r="A20" s="12"/>
      <c r="B20" s="14" t="s">
        <v>15</v>
      </c>
      <c r="C20" s="13">
        <f t="shared" ref="C20:F20" si="11">(5+20+8+20+8+20+8)*(1+C14)</f>
        <v>89</v>
      </c>
      <c r="D20" s="13">
        <f t="shared" si="11"/>
        <v>93.45</v>
      </c>
      <c r="E20" s="13">
        <f t="shared" si="11"/>
        <v>106.266</v>
      </c>
      <c r="F20" s="13">
        <f t="shared" si="11"/>
        <v>110.716</v>
      </c>
    </row>
    <row r="21">
      <c r="A21" s="10" t="s">
        <v>18</v>
      </c>
      <c r="B21" s="14" t="s">
        <v>17</v>
      </c>
      <c r="C21" s="17">
        <f t="shared" ref="C21:F21" si="12">(5+8+30+8+20+8)*(1+C14)</f>
        <v>79</v>
      </c>
      <c r="D21" s="17">
        <f t="shared" si="12"/>
        <v>82.95</v>
      </c>
      <c r="E21" s="17">
        <f t="shared" si="12"/>
        <v>94.326</v>
      </c>
      <c r="F21" s="17">
        <f t="shared" si="12"/>
        <v>98.276</v>
      </c>
      <c r="G21" s="18" t="s">
        <v>19</v>
      </c>
      <c r="H21" s="19"/>
      <c r="I21" s="19"/>
    </row>
    <row r="22">
      <c r="A22" s="15"/>
      <c r="B22" s="14" t="s">
        <v>14</v>
      </c>
      <c r="C22" s="13">
        <f t="shared" ref="C22:F22" si="13">(5+8+30+8+20+8+20+8)*(1+C14)</f>
        <v>107</v>
      </c>
      <c r="D22" s="13">
        <f t="shared" si="13"/>
        <v>112.35</v>
      </c>
      <c r="E22" s="13">
        <f t="shared" si="13"/>
        <v>127.758</v>
      </c>
      <c r="F22" s="13">
        <f t="shared" si="13"/>
        <v>133.108</v>
      </c>
      <c r="H22" s="19"/>
      <c r="I22" s="19"/>
    </row>
    <row r="23">
      <c r="A23" s="12"/>
      <c r="B23" s="20" t="s">
        <v>15</v>
      </c>
      <c r="C23" s="13">
        <f t="shared" ref="C23:F23" si="14">(5+8+20+8+20+8+20+8)*(1+C14)</f>
        <v>97</v>
      </c>
      <c r="D23" s="13">
        <f t="shared" si="14"/>
        <v>101.85</v>
      </c>
      <c r="E23" s="13">
        <f t="shared" si="14"/>
        <v>115.818</v>
      </c>
      <c r="F23" s="13">
        <f t="shared" si="14"/>
        <v>120.668</v>
      </c>
      <c r="H23" s="19"/>
      <c r="I23" s="19"/>
    </row>
    <row r="25">
      <c r="A25" s="1" t="s">
        <v>20</v>
      </c>
      <c r="B25" s="2"/>
      <c r="C25" s="2"/>
      <c r="D25" s="2"/>
      <c r="E25" s="2"/>
      <c r="F25" s="3"/>
    </row>
    <row r="26">
      <c r="A26" s="4" t="s">
        <v>1</v>
      </c>
      <c r="B26" s="5">
        <v>110.0</v>
      </c>
      <c r="C26" s="8" t="s">
        <v>21</v>
      </c>
      <c r="D26" s="2"/>
      <c r="E26" s="2"/>
      <c r="F26" s="3"/>
    </row>
    <row r="27">
      <c r="A27" s="8" t="s">
        <v>2</v>
      </c>
      <c r="B27" s="3"/>
      <c r="C27" s="9">
        <v>0.0</v>
      </c>
      <c r="D27" s="9">
        <v>0.05</v>
      </c>
      <c r="E27" s="9">
        <v>0.194</v>
      </c>
      <c r="F27" s="9">
        <v>0.244</v>
      </c>
    </row>
    <row r="28">
      <c r="A28" s="4" t="s">
        <v>3</v>
      </c>
      <c r="B28" s="4" t="s">
        <v>4</v>
      </c>
      <c r="C28" s="4" t="s">
        <v>5</v>
      </c>
      <c r="D28" s="4" t="s">
        <v>6</v>
      </c>
      <c r="E28" s="4" t="s">
        <v>7</v>
      </c>
      <c r="F28" s="4" t="s">
        <v>8</v>
      </c>
    </row>
    <row r="29">
      <c r="A29" s="10" t="s">
        <v>5</v>
      </c>
      <c r="B29" s="14" t="s">
        <v>17</v>
      </c>
      <c r="C29" s="11">
        <f t="shared" ref="C29:F29" si="15">(5+30+11+20+11)*(1+C27)</f>
        <v>77</v>
      </c>
      <c r="D29" s="11">
        <f t="shared" si="15"/>
        <v>80.85</v>
      </c>
      <c r="E29" s="11">
        <f t="shared" si="15"/>
        <v>91.938</v>
      </c>
      <c r="F29" s="11">
        <f t="shared" si="15"/>
        <v>95.788</v>
      </c>
    </row>
    <row r="30">
      <c r="A30" s="15"/>
      <c r="B30" s="14" t="s">
        <v>22</v>
      </c>
      <c r="C30" s="4">
        <f t="shared" ref="C30:F30" si="16">(5+20+11+20+11)*(1+C27)</f>
        <v>67</v>
      </c>
      <c r="D30" s="4">
        <f t="shared" si="16"/>
        <v>70.35</v>
      </c>
      <c r="E30" s="4">
        <f t="shared" si="16"/>
        <v>79.998</v>
      </c>
      <c r="F30" s="4">
        <f t="shared" si="16"/>
        <v>83.348</v>
      </c>
    </row>
    <row r="31">
      <c r="A31" s="12"/>
      <c r="B31" s="14" t="s">
        <v>14</v>
      </c>
      <c r="C31" s="13">
        <f t="shared" ref="C31:F31" si="17">(5+30+11+20+11+20+11)*(1+C27)</f>
        <v>108</v>
      </c>
      <c r="D31" s="13">
        <f t="shared" si="17"/>
        <v>113.4</v>
      </c>
      <c r="E31" s="13">
        <f t="shared" si="17"/>
        <v>128.952</v>
      </c>
      <c r="F31" s="13">
        <f t="shared" si="17"/>
        <v>134.352</v>
      </c>
    </row>
    <row r="32">
      <c r="A32" s="10" t="s">
        <v>23</v>
      </c>
      <c r="B32" s="14" t="s">
        <v>17</v>
      </c>
      <c r="C32" s="13">
        <f t="shared" ref="C32:F32" si="18">(5+11+30+11+20+11)*(1+C27)</f>
        <v>88</v>
      </c>
      <c r="D32" s="13">
        <f t="shared" si="18"/>
        <v>92.4</v>
      </c>
      <c r="E32" s="13">
        <f t="shared" si="18"/>
        <v>105.072</v>
      </c>
      <c r="F32" s="13">
        <f t="shared" si="18"/>
        <v>109.472</v>
      </c>
    </row>
    <row r="33">
      <c r="A33" s="15"/>
      <c r="B33" s="14" t="s">
        <v>22</v>
      </c>
      <c r="C33" s="13">
        <f t="shared" ref="C33:F33" si="19">(5+11+20+11+20+11)*(1+C27)</f>
        <v>78</v>
      </c>
      <c r="D33" s="13">
        <f t="shared" si="19"/>
        <v>81.9</v>
      </c>
      <c r="E33" s="13">
        <f t="shared" si="19"/>
        <v>93.132</v>
      </c>
      <c r="F33" s="13">
        <f t="shared" si="19"/>
        <v>97.032</v>
      </c>
    </row>
    <row r="34">
      <c r="A34" s="12"/>
      <c r="B34" s="14" t="s">
        <v>14</v>
      </c>
      <c r="C34" s="13">
        <f t="shared" ref="C34:F34" si="20">(5+11+30+11+20+11+20+11)*(1+C27)</f>
        <v>119</v>
      </c>
      <c r="D34" s="13">
        <f t="shared" si="20"/>
        <v>124.95</v>
      </c>
      <c r="E34" s="13">
        <f t="shared" si="20"/>
        <v>142.086</v>
      </c>
      <c r="F34" s="13">
        <f t="shared" si="20"/>
        <v>148.036</v>
      </c>
    </row>
    <row r="35">
      <c r="A35" s="10" t="s">
        <v>16</v>
      </c>
      <c r="B35" s="14" t="s">
        <v>17</v>
      </c>
      <c r="C35" s="13">
        <f t="shared" ref="C35:F35" si="21">(5+11+30+11+8+20+11+8)*(1+C27)</f>
        <v>104</v>
      </c>
      <c r="D35" s="13">
        <f t="shared" si="21"/>
        <v>109.2</v>
      </c>
      <c r="E35" s="13">
        <f t="shared" si="21"/>
        <v>124.176</v>
      </c>
      <c r="F35" s="13">
        <f t="shared" si="21"/>
        <v>129.376</v>
      </c>
    </row>
    <row r="36">
      <c r="A36" s="15"/>
      <c r="B36" s="14" t="s">
        <v>22</v>
      </c>
      <c r="C36" s="13">
        <f t="shared" ref="C36:F36" si="22">(5+11+20+11+8+20+11+8)*(1+C27)</f>
        <v>94</v>
      </c>
      <c r="D36" s="13">
        <f t="shared" si="22"/>
        <v>98.7</v>
      </c>
      <c r="E36" s="13">
        <f t="shared" si="22"/>
        <v>112.236</v>
      </c>
      <c r="F36" s="13">
        <f t="shared" si="22"/>
        <v>116.936</v>
      </c>
    </row>
    <row r="37">
      <c r="A37" s="12"/>
      <c r="B37" s="14" t="s">
        <v>14</v>
      </c>
      <c r="C37" s="13">
        <f t="shared" ref="C37:F37" si="23">(5+11+30+11+8+20+11+8+20+11+8)*(1+C27)</f>
        <v>143</v>
      </c>
      <c r="D37" s="13">
        <f t="shared" si="23"/>
        <v>150.15</v>
      </c>
      <c r="E37" s="13">
        <f t="shared" si="23"/>
        <v>170.742</v>
      </c>
      <c r="F37" s="13">
        <f t="shared" si="23"/>
        <v>177.892</v>
      </c>
    </row>
    <row r="39">
      <c r="A39" s="1" t="s">
        <v>24</v>
      </c>
      <c r="B39" s="2"/>
      <c r="C39" s="2"/>
      <c r="D39" s="2"/>
      <c r="E39" s="2"/>
      <c r="F39" s="3"/>
      <c r="G39" s="21"/>
      <c r="H39" s="21"/>
      <c r="I39" s="21"/>
      <c r="J39" s="21"/>
    </row>
    <row r="40">
      <c r="A40" s="4" t="s">
        <v>1</v>
      </c>
      <c r="B40" s="5">
        <v>120.0</v>
      </c>
      <c r="C40" s="8"/>
      <c r="D40" s="2"/>
      <c r="E40" s="2"/>
      <c r="F40" s="3"/>
      <c r="G40" s="22"/>
      <c r="H40" s="22"/>
      <c r="I40" s="22"/>
      <c r="J40" s="22"/>
    </row>
    <row r="41">
      <c r="A41" s="8" t="s">
        <v>2</v>
      </c>
      <c r="B41" s="3"/>
      <c r="C41" s="9">
        <v>0.0</v>
      </c>
      <c r="D41" s="9">
        <v>0.05</v>
      </c>
      <c r="E41" s="9">
        <v>0.194</v>
      </c>
      <c r="F41" s="9">
        <v>0.244</v>
      </c>
      <c r="G41" s="22"/>
      <c r="H41" s="22"/>
      <c r="I41" s="22"/>
      <c r="J41" s="22"/>
    </row>
    <row r="42">
      <c r="A42" s="4" t="s">
        <v>3</v>
      </c>
      <c r="B42" s="4" t="s">
        <v>4</v>
      </c>
      <c r="C42" s="4" t="s">
        <v>5</v>
      </c>
      <c r="D42" s="4" t="s">
        <v>6</v>
      </c>
      <c r="E42" s="4" t="s">
        <v>7</v>
      </c>
      <c r="F42" s="4" t="s">
        <v>8</v>
      </c>
      <c r="G42" s="22"/>
      <c r="H42" s="22"/>
      <c r="I42" s="22"/>
      <c r="J42" s="22"/>
    </row>
    <row r="43">
      <c r="A43" s="10" t="s">
        <v>5</v>
      </c>
      <c r="B43" s="23" t="s">
        <v>25</v>
      </c>
      <c r="C43" s="11">
        <f t="shared" ref="C43:F43" si="24">(5+30+30+30)*(1+C41)</f>
        <v>95</v>
      </c>
      <c r="D43" s="11">
        <f t="shared" si="24"/>
        <v>99.75</v>
      </c>
      <c r="E43" s="11">
        <f t="shared" si="24"/>
        <v>113.43</v>
      </c>
      <c r="F43" s="11">
        <f t="shared" si="24"/>
        <v>118.18</v>
      </c>
      <c r="G43" s="22"/>
      <c r="H43" s="22"/>
      <c r="I43" s="22"/>
      <c r="J43" s="22"/>
    </row>
    <row r="44">
      <c r="A44" s="12"/>
      <c r="B44" s="23" t="s">
        <v>26</v>
      </c>
      <c r="C44" s="24">
        <f t="shared" ref="C44:F44" si="25">(20+30+30+30)*(1+C41)</f>
        <v>110</v>
      </c>
      <c r="D44" s="24">
        <f t="shared" si="25"/>
        <v>115.5</v>
      </c>
      <c r="E44" s="24">
        <f t="shared" si="25"/>
        <v>131.34</v>
      </c>
      <c r="F44" s="24">
        <f t="shared" si="25"/>
        <v>136.84</v>
      </c>
      <c r="G44" s="22"/>
      <c r="H44" s="22"/>
      <c r="I44" s="22"/>
      <c r="J44" s="22"/>
    </row>
    <row r="45">
      <c r="A45" s="10" t="s">
        <v>27</v>
      </c>
      <c r="B45" s="23" t="s">
        <v>25</v>
      </c>
      <c r="C45" s="11">
        <f t="shared" ref="C45:F45" si="26">(5+30+30+30)*(1+C41+10%)</f>
        <v>104.5</v>
      </c>
      <c r="D45" s="11">
        <f t="shared" si="26"/>
        <v>109.25</v>
      </c>
      <c r="E45" s="11">
        <f t="shared" si="26"/>
        <v>122.93</v>
      </c>
      <c r="F45" s="11">
        <f t="shared" si="26"/>
        <v>127.68</v>
      </c>
    </row>
    <row r="46">
      <c r="A46" s="15"/>
      <c r="B46" s="23" t="s">
        <v>26</v>
      </c>
      <c r="C46" s="24">
        <f t="shared" ref="C46:F46" si="27">(20+30+30+30)*(1+C41+10%)</f>
        <v>121</v>
      </c>
      <c r="D46" s="24">
        <f t="shared" si="27"/>
        <v>126.5</v>
      </c>
      <c r="E46" s="24">
        <f t="shared" si="27"/>
        <v>142.34</v>
      </c>
      <c r="F46" s="24">
        <f t="shared" si="27"/>
        <v>147.84</v>
      </c>
      <c r="G46" s="21"/>
      <c r="H46" s="21"/>
      <c r="I46" s="21"/>
      <c r="J46" s="21"/>
    </row>
    <row r="47">
      <c r="A47" s="25" t="s">
        <v>28</v>
      </c>
      <c r="B47" s="26" t="s">
        <v>29</v>
      </c>
      <c r="C47" s="27">
        <f t="shared" ref="C47:F47" si="28">(5+30+30)*(1+C41+16%)</f>
        <v>75.4</v>
      </c>
      <c r="D47" s="27">
        <f t="shared" si="28"/>
        <v>78.65</v>
      </c>
      <c r="E47" s="27">
        <f t="shared" si="28"/>
        <v>88.01</v>
      </c>
      <c r="F47" s="27">
        <f t="shared" si="28"/>
        <v>91.26</v>
      </c>
      <c r="G47" s="7"/>
      <c r="H47" s="7"/>
      <c r="I47" s="7"/>
      <c r="J47" s="7"/>
    </row>
    <row r="48">
      <c r="A48" s="15"/>
      <c r="B48" s="28" t="s">
        <v>25</v>
      </c>
      <c r="C48" s="27">
        <f t="shared" ref="C48:F48" si="29">(5+30+30+30)*(1+C41+16%)</f>
        <v>110.2</v>
      </c>
      <c r="D48" s="27">
        <f t="shared" si="29"/>
        <v>114.95</v>
      </c>
      <c r="E48" s="27">
        <f t="shared" si="29"/>
        <v>128.63</v>
      </c>
      <c r="F48" s="27">
        <f t="shared" si="29"/>
        <v>133.38</v>
      </c>
      <c r="G48" s="7"/>
      <c r="H48" s="7"/>
      <c r="I48" s="7"/>
      <c r="J48" s="7"/>
    </row>
    <row r="49">
      <c r="A49" s="15"/>
      <c r="B49" s="29" t="s">
        <v>26</v>
      </c>
      <c r="C49" s="30">
        <f t="shared" ref="C49:F49" si="30">(20+30+30+30)*(1+C41+16%)</f>
        <v>127.6</v>
      </c>
      <c r="D49" s="30">
        <f t="shared" si="30"/>
        <v>133.1</v>
      </c>
      <c r="E49" s="30">
        <f t="shared" si="30"/>
        <v>148.94</v>
      </c>
      <c r="F49" s="30">
        <f t="shared" si="30"/>
        <v>154.44</v>
      </c>
      <c r="G49" s="7"/>
      <c r="H49" s="7"/>
      <c r="I49" s="7"/>
      <c r="J49" s="7"/>
    </row>
    <row r="50">
      <c r="A50" s="25" t="s">
        <v>30</v>
      </c>
      <c r="B50" s="31" t="s">
        <v>29</v>
      </c>
      <c r="C50" s="32">
        <f t="shared" ref="C50:F50" si="31">(5+30+30)*(1+C41+18%)</f>
        <v>76.7</v>
      </c>
      <c r="D50" s="32">
        <f t="shared" si="31"/>
        <v>79.95</v>
      </c>
      <c r="E50" s="32">
        <f t="shared" si="31"/>
        <v>89.31</v>
      </c>
      <c r="F50" s="32">
        <f t="shared" si="31"/>
        <v>92.56</v>
      </c>
      <c r="G50" s="7"/>
      <c r="H50" s="7"/>
      <c r="I50" s="7"/>
      <c r="J50" s="7"/>
    </row>
    <row r="51">
      <c r="A51" s="15"/>
      <c r="B51" s="28" t="s">
        <v>25</v>
      </c>
      <c r="C51" s="27">
        <f t="shared" ref="C51:F51" si="32">(5+30+30+30)*(1+C41+18%)</f>
        <v>112.1</v>
      </c>
      <c r="D51" s="27">
        <f t="shared" si="32"/>
        <v>116.85</v>
      </c>
      <c r="E51" s="27">
        <f t="shared" si="32"/>
        <v>130.53</v>
      </c>
      <c r="F51" s="27">
        <f t="shared" si="32"/>
        <v>135.28</v>
      </c>
      <c r="G51" s="7"/>
      <c r="H51" s="7"/>
      <c r="I51" s="7"/>
      <c r="J51" s="7"/>
    </row>
    <row r="52">
      <c r="A52" s="12"/>
      <c r="B52" s="29" t="s">
        <v>26</v>
      </c>
      <c r="C52" s="30">
        <f t="shared" ref="C52:F52" si="33">(20+30+30+30)*(1+C41+18%)</f>
        <v>129.8</v>
      </c>
      <c r="D52" s="30">
        <f t="shared" si="33"/>
        <v>135.3</v>
      </c>
      <c r="E52" s="30">
        <f t="shared" si="33"/>
        <v>151.14</v>
      </c>
      <c r="F52" s="30">
        <f t="shared" si="33"/>
        <v>156.64</v>
      </c>
      <c r="G52" s="7"/>
      <c r="H52" s="7"/>
      <c r="I52" s="7"/>
      <c r="J52" s="7"/>
    </row>
    <row r="53">
      <c r="G53" s="7"/>
      <c r="H53" s="7"/>
      <c r="I53" s="7"/>
      <c r="J53" s="7"/>
    </row>
    <row r="54">
      <c r="A54" s="1" t="s">
        <v>31</v>
      </c>
      <c r="B54" s="2"/>
      <c r="C54" s="2"/>
      <c r="D54" s="2"/>
      <c r="E54" s="2"/>
      <c r="F54" s="3"/>
      <c r="G54" s="33"/>
      <c r="H54" s="33"/>
      <c r="I54" s="33"/>
      <c r="J54" s="33"/>
    </row>
    <row r="55">
      <c r="A55" s="4" t="s">
        <v>1</v>
      </c>
      <c r="B55" s="5">
        <v>135.0</v>
      </c>
      <c r="C55" s="6"/>
      <c r="D55" s="2"/>
      <c r="E55" s="2"/>
      <c r="F55" s="3"/>
      <c r="G55" s="34"/>
      <c r="H55" s="34"/>
      <c r="I55" s="34"/>
      <c r="J55" s="34"/>
    </row>
    <row r="56">
      <c r="A56" s="8" t="s">
        <v>2</v>
      </c>
      <c r="B56" s="3"/>
      <c r="C56" s="9">
        <v>0.0</v>
      </c>
      <c r="D56" s="9">
        <v>0.05</v>
      </c>
      <c r="E56" s="9">
        <v>0.194</v>
      </c>
      <c r="F56" s="9">
        <v>0.244</v>
      </c>
      <c r="G56" s="35"/>
      <c r="H56" s="35"/>
      <c r="I56" s="35"/>
      <c r="J56" s="35"/>
    </row>
    <row r="57">
      <c r="A57" s="4" t="s">
        <v>3</v>
      </c>
      <c r="B57" s="4" t="s">
        <v>4</v>
      </c>
      <c r="C57" s="4" t="s">
        <v>5</v>
      </c>
      <c r="D57" s="4" t="s">
        <v>6</v>
      </c>
      <c r="E57" s="4" t="s">
        <v>7</v>
      </c>
      <c r="F57" s="4" t="s">
        <v>8</v>
      </c>
      <c r="G57" s="34"/>
      <c r="H57" s="34"/>
      <c r="I57" s="34"/>
      <c r="J57" s="34"/>
    </row>
    <row r="58">
      <c r="A58" s="10" t="s">
        <v>5</v>
      </c>
      <c r="B58" s="14" t="s">
        <v>32</v>
      </c>
      <c r="C58" s="11">
        <f t="shared" ref="C58:F58" si="34">(5+20+20+30+20)*(1+C56)</f>
        <v>95</v>
      </c>
      <c r="D58" s="11">
        <f t="shared" si="34"/>
        <v>99.75</v>
      </c>
      <c r="E58" s="11">
        <f t="shared" si="34"/>
        <v>113.43</v>
      </c>
      <c r="F58" s="11">
        <f t="shared" si="34"/>
        <v>118.18</v>
      </c>
      <c r="G58" s="36"/>
      <c r="H58" s="36"/>
      <c r="I58" s="36"/>
      <c r="J58" s="36"/>
    </row>
    <row r="59">
      <c r="A59" s="12"/>
      <c r="B59" s="14" t="s">
        <v>33</v>
      </c>
      <c r="C59" s="4">
        <f t="shared" ref="C59:F59" si="35">(5+20+20+30+20+20)*(1+C56)</f>
        <v>115</v>
      </c>
      <c r="D59" s="4">
        <f t="shared" si="35"/>
        <v>120.75</v>
      </c>
      <c r="E59" s="4">
        <f t="shared" si="35"/>
        <v>137.31</v>
      </c>
      <c r="F59" s="4">
        <f t="shared" si="35"/>
        <v>143.06</v>
      </c>
      <c r="G59" s="36"/>
      <c r="H59" s="36"/>
      <c r="I59" s="36"/>
      <c r="J59" s="36"/>
    </row>
    <row r="60">
      <c r="A60" s="10" t="s">
        <v>34</v>
      </c>
      <c r="B60" s="14" t="s">
        <v>32</v>
      </c>
      <c r="C60" s="11">
        <f t="shared" ref="C60:F60" si="36">(5+20+20+30+20)*(1+C56+10%)</f>
        <v>104.5</v>
      </c>
      <c r="D60" s="11">
        <f t="shared" si="36"/>
        <v>109.25</v>
      </c>
      <c r="E60" s="11">
        <f t="shared" si="36"/>
        <v>122.93</v>
      </c>
      <c r="F60" s="11">
        <f t="shared" si="36"/>
        <v>127.68</v>
      </c>
      <c r="G60" s="36"/>
      <c r="H60" s="36"/>
      <c r="I60" s="36"/>
      <c r="J60" s="36"/>
    </row>
    <row r="61">
      <c r="A61" s="12"/>
      <c r="B61" s="14" t="s">
        <v>33</v>
      </c>
      <c r="C61" s="4">
        <f t="shared" ref="C61:F61" si="37">(5+20+20+30+20+20)*(1+C56+10%)</f>
        <v>126.5</v>
      </c>
      <c r="D61" s="4">
        <f t="shared" si="37"/>
        <v>132.25</v>
      </c>
      <c r="E61" s="4">
        <f t="shared" si="37"/>
        <v>148.81</v>
      </c>
      <c r="F61" s="4">
        <f t="shared" si="37"/>
        <v>154.56</v>
      </c>
      <c r="G61" s="36"/>
      <c r="H61" s="36"/>
      <c r="I61" s="36"/>
      <c r="J61" s="36"/>
    </row>
    <row r="63">
      <c r="A63" s="37" t="s">
        <v>35</v>
      </c>
      <c r="B63" s="2"/>
      <c r="C63" s="2"/>
      <c r="D63" s="2"/>
      <c r="E63" s="2"/>
      <c r="F63" s="2"/>
      <c r="G63" s="2"/>
      <c r="H63" s="2"/>
      <c r="I63" s="2"/>
      <c r="J63" s="3"/>
    </row>
    <row r="64">
      <c r="A64" s="38" t="s">
        <v>1</v>
      </c>
      <c r="B64" s="39">
        <v>140.0</v>
      </c>
      <c r="C64" s="40" t="s">
        <v>36</v>
      </c>
      <c r="D64" s="2"/>
      <c r="E64" s="2"/>
      <c r="F64" s="3"/>
      <c r="G64" s="40" t="s">
        <v>37</v>
      </c>
      <c r="H64" s="2"/>
      <c r="I64" s="2"/>
      <c r="J64" s="3"/>
    </row>
    <row r="65">
      <c r="A65" s="41" t="s">
        <v>2</v>
      </c>
      <c r="B65" s="3"/>
      <c r="C65" s="42">
        <v>0.0</v>
      </c>
      <c r="D65" s="42">
        <v>0.05</v>
      </c>
      <c r="E65" s="42">
        <v>0.194</v>
      </c>
      <c r="F65" s="42">
        <v>0.244</v>
      </c>
      <c r="G65" s="42">
        <v>0.0</v>
      </c>
      <c r="H65" s="42">
        <v>0.05</v>
      </c>
      <c r="I65" s="42">
        <v>0.194</v>
      </c>
      <c r="J65" s="42">
        <v>0.244</v>
      </c>
    </row>
    <row r="66">
      <c r="A66" s="43" t="s">
        <v>3</v>
      </c>
      <c r="B66" s="43" t="s">
        <v>4</v>
      </c>
      <c r="C66" s="43" t="s">
        <v>5</v>
      </c>
      <c r="D66" s="43" t="s">
        <v>6</v>
      </c>
      <c r="E66" s="43" t="s">
        <v>7</v>
      </c>
      <c r="F66" s="43" t="s">
        <v>8</v>
      </c>
      <c r="G66" s="43" t="s">
        <v>5</v>
      </c>
      <c r="H66" s="43" t="s">
        <v>6</v>
      </c>
      <c r="I66" s="43" t="s">
        <v>7</v>
      </c>
      <c r="J66" s="43" t="s">
        <v>8</v>
      </c>
    </row>
    <row r="67">
      <c r="A67" s="44" t="s">
        <v>5</v>
      </c>
      <c r="B67" s="43" t="s">
        <v>9</v>
      </c>
      <c r="C67" s="45">
        <f t="shared" ref="C67:F67" si="38">(5+30+20+30+12)*(1+C65)</f>
        <v>97</v>
      </c>
      <c r="D67" s="45">
        <f t="shared" si="38"/>
        <v>101.85</v>
      </c>
      <c r="E67" s="45">
        <f t="shared" si="38"/>
        <v>115.818</v>
      </c>
      <c r="F67" s="45">
        <f t="shared" si="38"/>
        <v>120.668</v>
      </c>
      <c r="G67" s="45">
        <f t="shared" ref="G67:J67" si="39">(5+30+20+30+6)*(1+G65)</f>
        <v>91</v>
      </c>
      <c r="H67" s="45">
        <f t="shared" si="39"/>
        <v>95.55</v>
      </c>
      <c r="I67" s="45">
        <f t="shared" si="39"/>
        <v>108.654</v>
      </c>
      <c r="J67" s="45">
        <f t="shared" si="39"/>
        <v>113.204</v>
      </c>
    </row>
    <row r="68">
      <c r="A68" s="15"/>
      <c r="B68" s="43" t="s">
        <v>10</v>
      </c>
      <c r="C68" s="45">
        <f t="shared" ref="C68:F68" si="40">(5+20+30+20+12)*(1+C65)</f>
        <v>87</v>
      </c>
      <c r="D68" s="45">
        <f t="shared" si="40"/>
        <v>91.35</v>
      </c>
      <c r="E68" s="45">
        <f t="shared" si="40"/>
        <v>103.878</v>
      </c>
      <c r="F68" s="45">
        <f t="shared" si="40"/>
        <v>108.228</v>
      </c>
      <c r="G68" s="45">
        <f t="shared" ref="G68:J68" si="41">(5+20+30+20+6)*(1+G65)</f>
        <v>81</v>
      </c>
      <c r="H68" s="45">
        <f t="shared" si="41"/>
        <v>85.05</v>
      </c>
      <c r="I68" s="45">
        <f t="shared" si="41"/>
        <v>96.714</v>
      </c>
      <c r="J68" s="45">
        <f t="shared" si="41"/>
        <v>100.764</v>
      </c>
    </row>
    <row r="69">
      <c r="A69" s="12"/>
      <c r="B69" s="14" t="s">
        <v>38</v>
      </c>
      <c r="C69" s="46">
        <f t="shared" ref="C69:F69" si="42">(5+20+30+20+30+24)*(1+C65)</f>
        <v>129</v>
      </c>
      <c r="D69" s="46">
        <f t="shared" si="42"/>
        <v>135.45</v>
      </c>
      <c r="E69" s="46">
        <f t="shared" si="42"/>
        <v>154.026</v>
      </c>
      <c r="F69" s="46">
        <f t="shared" si="42"/>
        <v>160.476</v>
      </c>
      <c r="G69" s="46">
        <f t="shared" ref="G69:J69" si="43">(5+20+30+20+30+12)*(1+G65)</f>
        <v>117</v>
      </c>
      <c r="H69" s="46">
        <f t="shared" si="43"/>
        <v>122.85</v>
      </c>
      <c r="I69" s="46">
        <f t="shared" si="43"/>
        <v>139.698</v>
      </c>
      <c r="J69" s="46">
        <f t="shared" si="43"/>
        <v>145.548</v>
      </c>
    </row>
    <row r="70">
      <c r="A70" s="47" t="s">
        <v>39</v>
      </c>
      <c r="B70" s="43" t="s">
        <v>9</v>
      </c>
      <c r="C70" s="45">
        <f t="shared" ref="C70:F70" si="44">(5+30+3+20+30+3+12)*(1+C65)</f>
        <v>103</v>
      </c>
      <c r="D70" s="45">
        <f t="shared" si="44"/>
        <v>108.15</v>
      </c>
      <c r="E70" s="45">
        <f t="shared" si="44"/>
        <v>122.982</v>
      </c>
      <c r="F70" s="45">
        <f t="shared" si="44"/>
        <v>128.132</v>
      </c>
      <c r="G70" s="45">
        <f t="shared" ref="G70:J70" si="45">(5+30+3+20+30+3+6)*(1+G65)</f>
        <v>97</v>
      </c>
      <c r="H70" s="45">
        <f t="shared" si="45"/>
        <v>101.85</v>
      </c>
      <c r="I70" s="45">
        <f t="shared" si="45"/>
        <v>115.818</v>
      </c>
      <c r="J70" s="45">
        <f t="shared" si="45"/>
        <v>120.668</v>
      </c>
    </row>
    <row r="71">
      <c r="A71" s="15"/>
      <c r="B71" s="43" t="s">
        <v>10</v>
      </c>
      <c r="C71" s="45">
        <f t="shared" ref="C71:F71" si="46">(5+20+30+3+20+12)*(1+C65)</f>
        <v>90</v>
      </c>
      <c r="D71" s="45">
        <f t="shared" si="46"/>
        <v>94.5</v>
      </c>
      <c r="E71" s="45">
        <f t="shared" si="46"/>
        <v>107.46</v>
      </c>
      <c r="F71" s="45">
        <f t="shared" si="46"/>
        <v>111.96</v>
      </c>
      <c r="G71" s="45">
        <f t="shared" ref="G71:J71" si="47">(5+20+30+3+20+6)*(1+G65)</f>
        <v>84</v>
      </c>
      <c r="H71" s="45">
        <f t="shared" si="47"/>
        <v>88.2</v>
      </c>
      <c r="I71" s="45">
        <f t="shared" si="47"/>
        <v>100.296</v>
      </c>
      <c r="J71" s="45">
        <f t="shared" si="47"/>
        <v>104.496</v>
      </c>
    </row>
    <row r="72">
      <c r="A72" s="12"/>
      <c r="B72" s="14" t="s">
        <v>38</v>
      </c>
      <c r="C72" s="46">
        <f t="shared" ref="C72:F72" si="48">(5+20+30+3+20+30+3+24)*(1+C65)</f>
        <v>135</v>
      </c>
      <c r="D72" s="46">
        <f t="shared" si="48"/>
        <v>141.75</v>
      </c>
      <c r="E72" s="46">
        <f t="shared" si="48"/>
        <v>161.19</v>
      </c>
      <c r="F72" s="46">
        <f t="shared" si="48"/>
        <v>167.94</v>
      </c>
      <c r="G72" s="46">
        <f t="shared" ref="G72:J72" si="49">(5+20+30+3+20+30+3+12)*(1+G65)</f>
        <v>123</v>
      </c>
      <c r="H72" s="46">
        <f t="shared" si="49"/>
        <v>129.15</v>
      </c>
      <c r="I72" s="46">
        <f t="shared" si="49"/>
        <v>146.862</v>
      </c>
      <c r="J72" s="46">
        <f t="shared" si="49"/>
        <v>153.012</v>
      </c>
    </row>
    <row r="73">
      <c r="A73" s="47" t="s">
        <v>40</v>
      </c>
      <c r="B73" s="43" t="s">
        <v>9</v>
      </c>
      <c r="C73" s="45">
        <f t="shared" ref="C73:F73" si="50">(5+30+20+30+12)*(1+(C65+12%))</f>
        <v>108.64</v>
      </c>
      <c r="D73" s="45">
        <f t="shared" si="50"/>
        <v>113.49</v>
      </c>
      <c r="E73" s="45">
        <f t="shared" si="50"/>
        <v>127.458</v>
      </c>
      <c r="F73" s="45">
        <f t="shared" si="50"/>
        <v>132.308</v>
      </c>
      <c r="G73" s="45">
        <f t="shared" ref="G73:J73" si="51">(5+30+20+30+6)*(1+(G65+12%))</f>
        <v>101.92</v>
      </c>
      <c r="H73" s="45">
        <f t="shared" si="51"/>
        <v>106.47</v>
      </c>
      <c r="I73" s="45">
        <f t="shared" si="51"/>
        <v>119.574</v>
      </c>
      <c r="J73" s="45">
        <f t="shared" si="51"/>
        <v>124.124</v>
      </c>
    </row>
    <row r="74">
      <c r="A74" s="15"/>
      <c r="B74" s="43" t="s">
        <v>10</v>
      </c>
      <c r="C74" s="45">
        <f t="shared" ref="C74:F74" si="52">(5+20+30+20+12)*(1+(C65+12%))</f>
        <v>97.44</v>
      </c>
      <c r="D74" s="45">
        <f t="shared" si="52"/>
        <v>101.79</v>
      </c>
      <c r="E74" s="45">
        <f t="shared" si="52"/>
        <v>114.318</v>
      </c>
      <c r="F74" s="45">
        <f t="shared" si="52"/>
        <v>118.668</v>
      </c>
      <c r="G74" s="45">
        <f t="shared" ref="G74:J74" si="53">(5+20+30+20+6)*(1+(G65+12%))</f>
        <v>90.72</v>
      </c>
      <c r="H74" s="45">
        <f t="shared" si="53"/>
        <v>94.77</v>
      </c>
      <c r="I74" s="45">
        <f t="shared" si="53"/>
        <v>106.434</v>
      </c>
      <c r="J74" s="45">
        <f t="shared" si="53"/>
        <v>110.484</v>
      </c>
    </row>
    <row r="75">
      <c r="A75" s="12"/>
      <c r="B75" s="14" t="s">
        <v>38</v>
      </c>
      <c r="C75" s="46">
        <f t="shared" ref="C75:F75" si="54">(5+20+30+20+30+24)*(1+(C65+12%))</f>
        <v>144.48</v>
      </c>
      <c r="D75" s="46">
        <f t="shared" si="54"/>
        <v>150.93</v>
      </c>
      <c r="E75" s="46">
        <f t="shared" si="54"/>
        <v>169.506</v>
      </c>
      <c r="F75" s="46">
        <f t="shared" si="54"/>
        <v>175.956</v>
      </c>
      <c r="G75" s="46">
        <f t="shared" ref="G75:J75" si="55">(5+20+30+20+30+12)*(1+(G65+12%))</f>
        <v>131.04</v>
      </c>
      <c r="H75" s="46">
        <f t="shared" si="55"/>
        <v>136.89</v>
      </c>
      <c r="I75" s="46">
        <f t="shared" si="55"/>
        <v>153.738</v>
      </c>
      <c r="J75" s="46">
        <f t="shared" si="55"/>
        <v>159.588</v>
      </c>
    </row>
    <row r="76">
      <c r="A76" s="47" t="s">
        <v>41</v>
      </c>
      <c r="B76" s="48" t="s">
        <v>9</v>
      </c>
      <c r="C76" s="45">
        <f t="shared" ref="C76:F76" si="56">(5+30+20+30+12)*(1+(C65+14%))</f>
        <v>110.58</v>
      </c>
      <c r="D76" s="45">
        <f t="shared" si="56"/>
        <v>115.43</v>
      </c>
      <c r="E76" s="45">
        <f t="shared" si="56"/>
        <v>129.398</v>
      </c>
      <c r="F76" s="45">
        <f t="shared" si="56"/>
        <v>134.248</v>
      </c>
      <c r="G76" s="45">
        <f t="shared" ref="G76:J76" si="57">(5+30+20+30+6)*(1+(G65+14%))</f>
        <v>103.74</v>
      </c>
      <c r="H76" s="45">
        <f t="shared" si="57"/>
        <v>108.29</v>
      </c>
      <c r="I76" s="45">
        <f t="shared" si="57"/>
        <v>121.394</v>
      </c>
      <c r="J76" s="45">
        <f t="shared" si="57"/>
        <v>125.944</v>
      </c>
    </row>
    <row r="77">
      <c r="A77" s="15"/>
      <c r="B77" s="48" t="s">
        <v>10</v>
      </c>
      <c r="C77" s="45">
        <f t="shared" ref="C77:F77" si="58">(5+20+30+20+12)*(1+(C65+14%))</f>
        <v>99.18</v>
      </c>
      <c r="D77" s="45">
        <f t="shared" si="58"/>
        <v>103.53</v>
      </c>
      <c r="E77" s="45">
        <f t="shared" si="58"/>
        <v>116.058</v>
      </c>
      <c r="F77" s="45">
        <f t="shared" si="58"/>
        <v>120.408</v>
      </c>
      <c r="G77" s="45">
        <f t="shared" ref="G77:J77" si="59">(5+20+30+20+6)*(1+(G65+14%))</f>
        <v>92.34</v>
      </c>
      <c r="H77" s="45">
        <f t="shared" si="59"/>
        <v>96.39</v>
      </c>
      <c r="I77" s="45">
        <f t="shared" si="59"/>
        <v>108.054</v>
      </c>
      <c r="J77" s="45">
        <f t="shared" si="59"/>
        <v>112.104</v>
      </c>
    </row>
    <row r="78">
      <c r="A78" s="12"/>
      <c r="B78" s="14" t="s">
        <v>38</v>
      </c>
      <c r="C78" s="46">
        <f t="shared" ref="C78:F78" si="60">(5+20+30+20+30+24)*(1+(C65+14%))</f>
        <v>147.06</v>
      </c>
      <c r="D78" s="46">
        <f t="shared" si="60"/>
        <v>153.51</v>
      </c>
      <c r="E78" s="46">
        <f t="shared" si="60"/>
        <v>172.086</v>
      </c>
      <c r="F78" s="46">
        <f t="shared" si="60"/>
        <v>178.536</v>
      </c>
      <c r="G78" s="46">
        <f t="shared" ref="G78:J78" si="61">(5+20+30+20+30+12)*(1+(G65+14%))</f>
        <v>133.38</v>
      </c>
      <c r="H78" s="46">
        <f t="shared" si="61"/>
        <v>139.23</v>
      </c>
      <c r="I78" s="46">
        <f t="shared" si="61"/>
        <v>156.078</v>
      </c>
      <c r="J78" s="46">
        <f t="shared" si="61"/>
        <v>161.928</v>
      </c>
    </row>
    <row r="79">
      <c r="A79" s="47" t="s">
        <v>42</v>
      </c>
      <c r="B79" s="48" t="s">
        <v>9</v>
      </c>
      <c r="C79" s="45">
        <f t="shared" ref="C79:F79" si="62">(5+30+20+30+12)*(1+(C65+16%))</f>
        <v>112.52</v>
      </c>
      <c r="D79" s="45">
        <f t="shared" si="62"/>
        <v>117.37</v>
      </c>
      <c r="E79" s="45">
        <f t="shared" si="62"/>
        <v>131.338</v>
      </c>
      <c r="F79" s="45">
        <f t="shared" si="62"/>
        <v>136.188</v>
      </c>
      <c r="G79" s="45">
        <f t="shared" ref="G79:J79" si="63">(5+30+20+30+6)*(1+(G65+16%))</f>
        <v>105.56</v>
      </c>
      <c r="H79" s="45">
        <f t="shared" si="63"/>
        <v>110.11</v>
      </c>
      <c r="I79" s="45">
        <f t="shared" si="63"/>
        <v>123.214</v>
      </c>
      <c r="J79" s="45">
        <f t="shared" si="63"/>
        <v>127.764</v>
      </c>
    </row>
    <row r="80">
      <c r="A80" s="15"/>
      <c r="B80" s="48" t="s">
        <v>10</v>
      </c>
      <c r="C80" s="45">
        <f t="shared" ref="C80:F80" si="64">(5+20+30+20+12)*(1+(C65+16%))</f>
        <v>100.92</v>
      </c>
      <c r="D80" s="45">
        <f t="shared" si="64"/>
        <v>105.27</v>
      </c>
      <c r="E80" s="45">
        <f t="shared" si="64"/>
        <v>117.798</v>
      </c>
      <c r="F80" s="45">
        <f t="shared" si="64"/>
        <v>122.148</v>
      </c>
      <c r="G80" s="45">
        <f t="shared" ref="G80:J80" si="65">(5+20+30+20+6)*(1+(G65+16%))</f>
        <v>93.96</v>
      </c>
      <c r="H80" s="45">
        <f t="shared" si="65"/>
        <v>98.01</v>
      </c>
      <c r="I80" s="45">
        <f t="shared" si="65"/>
        <v>109.674</v>
      </c>
      <c r="J80" s="45">
        <f t="shared" si="65"/>
        <v>113.724</v>
      </c>
    </row>
    <row r="81">
      <c r="A81" s="12"/>
      <c r="B81" s="14" t="s">
        <v>38</v>
      </c>
      <c r="C81" s="46">
        <f t="shared" ref="C81:F81" si="66">(5+20+30+20+30+24)*(1+(C65+16%))</f>
        <v>149.64</v>
      </c>
      <c r="D81" s="46">
        <f t="shared" si="66"/>
        <v>156.09</v>
      </c>
      <c r="E81" s="46">
        <f t="shared" si="66"/>
        <v>174.666</v>
      </c>
      <c r="F81" s="46">
        <f t="shared" si="66"/>
        <v>181.116</v>
      </c>
      <c r="G81" s="46">
        <f t="shared" ref="G81:J81" si="67">(5+20+30+20+30+12)*(1+(G65+16%))</f>
        <v>135.72</v>
      </c>
      <c r="H81" s="46">
        <f t="shared" si="67"/>
        <v>141.57</v>
      </c>
      <c r="I81" s="46">
        <f t="shared" si="67"/>
        <v>158.418</v>
      </c>
      <c r="J81" s="46">
        <f t="shared" si="67"/>
        <v>164.268</v>
      </c>
    </row>
    <row r="83">
      <c r="A83" s="1" t="s">
        <v>43</v>
      </c>
      <c r="B83" s="2"/>
      <c r="C83" s="2"/>
      <c r="D83" s="2"/>
      <c r="E83" s="2"/>
      <c r="F83" s="3"/>
    </row>
    <row r="84">
      <c r="A84" s="4" t="s">
        <v>1</v>
      </c>
      <c r="B84" s="5">
        <v>100.0</v>
      </c>
      <c r="C84" s="6"/>
      <c r="D84" s="2"/>
      <c r="E84" s="2"/>
      <c r="F84" s="3"/>
    </row>
    <row r="85">
      <c r="A85" s="8" t="s">
        <v>2</v>
      </c>
      <c r="B85" s="3"/>
      <c r="C85" s="9">
        <v>0.0</v>
      </c>
      <c r="D85" s="9">
        <v>0.05</v>
      </c>
      <c r="E85" s="9">
        <v>0.194</v>
      </c>
      <c r="F85" s="9">
        <v>0.244</v>
      </c>
    </row>
    <row r="86">
      <c r="A86" s="14" t="s">
        <v>3</v>
      </c>
      <c r="B86" s="14" t="s">
        <v>4</v>
      </c>
      <c r="C86" s="14" t="s">
        <v>5</v>
      </c>
      <c r="D86" s="14" t="s">
        <v>6</v>
      </c>
      <c r="E86" s="14" t="s">
        <v>7</v>
      </c>
      <c r="F86" s="14" t="s">
        <v>8</v>
      </c>
    </row>
    <row r="87">
      <c r="A87" s="47" t="s">
        <v>5</v>
      </c>
      <c r="B87" s="14" t="s">
        <v>44</v>
      </c>
      <c r="C87" s="46">
        <f t="shared" ref="C87:F87" si="68">(5+20+20)*(1+C85)</f>
        <v>45</v>
      </c>
      <c r="D87" s="46">
        <f t="shared" si="68"/>
        <v>47.25</v>
      </c>
      <c r="E87" s="46">
        <f t="shared" si="68"/>
        <v>53.73</v>
      </c>
      <c r="F87" s="46">
        <f t="shared" si="68"/>
        <v>55.98</v>
      </c>
    </row>
    <row r="88">
      <c r="A88" s="15"/>
      <c r="B88" s="14" t="s">
        <v>45</v>
      </c>
      <c r="C88" s="14">
        <f t="shared" ref="C88:F88" si="69">(5+20+20+20)*(1+C85)</f>
        <v>65</v>
      </c>
      <c r="D88" s="14">
        <f t="shared" si="69"/>
        <v>68.25</v>
      </c>
      <c r="E88" s="14">
        <f t="shared" si="69"/>
        <v>77.61</v>
      </c>
      <c r="F88" s="14">
        <f t="shared" si="69"/>
        <v>80.86</v>
      </c>
    </row>
    <row r="89">
      <c r="A89" s="12"/>
      <c r="B89" s="14" t="s">
        <v>46</v>
      </c>
      <c r="C89" s="46">
        <f t="shared" ref="C89:F89" si="70">(5+30+20+20)*(1+C85)</f>
        <v>75</v>
      </c>
      <c r="D89" s="46">
        <f t="shared" si="70"/>
        <v>78.75</v>
      </c>
      <c r="E89" s="46">
        <f t="shared" si="70"/>
        <v>89.55</v>
      </c>
      <c r="F89" s="46">
        <f t="shared" si="70"/>
        <v>93.3</v>
      </c>
    </row>
    <row r="90">
      <c r="A90" s="47" t="s">
        <v>47</v>
      </c>
      <c r="B90" s="14" t="s">
        <v>44</v>
      </c>
      <c r="C90" s="24">
        <f t="shared" ref="C90:F90" si="71">(5+20+20)*(1+C85+12%)</f>
        <v>50.4</v>
      </c>
      <c r="D90" s="24">
        <f t="shared" si="71"/>
        <v>52.65</v>
      </c>
      <c r="E90" s="24">
        <f t="shared" si="71"/>
        <v>59.13</v>
      </c>
      <c r="F90" s="24">
        <f t="shared" si="71"/>
        <v>61.38</v>
      </c>
    </row>
    <row r="91">
      <c r="A91" s="15"/>
      <c r="B91" s="14" t="s">
        <v>45</v>
      </c>
      <c r="C91" s="24">
        <f t="shared" ref="C91:F91" si="72">(5+20+20+20)*(1+C85+12%)</f>
        <v>72.8</v>
      </c>
      <c r="D91" s="24">
        <f t="shared" si="72"/>
        <v>76.05</v>
      </c>
      <c r="E91" s="24">
        <f t="shared" si="72"/>
        <v>85.41</v>
      </c>
      <c r="F91" s="24">
        <f t="shared" si="72"/>
        <v>88.66</v>
      </c>
    </row>
    <row r="92">
      <c r="A92" s="12"/>
      <c r="B92" s="14" t="s">
        <v>46</v>
      </c>
      <c r="C92" s="46">
        <f t="shared" ref="C92:F92" si="73">(5+30+20+20)*(1+C85+12%)</f>
        <v>84</v>
      </c>
      <c r="D92" s="46">
        <f t="shared" si="73"/>
        <v>87.75</v>
      </c>
      <c r="E92" s="46">
        <f t="shared" si="73"/>
        <v>98.55</v>
      </c>
      <c r="F92" s="46">
        <f t="shared" si="73"/>
        <v>102.3</v>
      </c>
    </row>
    <row r="93">
      <c r="A93" s="47" t="s">
        <v>41</v>
      </c>
      <c r="B93" s="14" t="s">
        <v>44</v>
      </c>
      <c r="C93" s="24">
        <f t="shared" ref="C93:F93" si="74">(5+20+20)*(1+C85+14%)</f>
        <v>51.3</v>
      </c>
      <c r="D93" s="24">
        <f t="shared" si="74"/>
        <v>53.55</v>
      </c>
      <c r="E93" s="24">
        <f t="shared" si="74"/>
        <v>60.03</v>
      </c>
      <c r="F93" s="24">
        <f t="shared" si="74"/>
        <v>62.28</v>
      </c>
    </row>
    <row r="94">
      <c r="A94" s="15"/>
      <c r="B94" s="14" t="s">
        <v>45</v>
      </c>
      <c r="C94" s="24">
        <f t="shared" ref="C94:F94" si="75">(5+20+20+20)*(1+C85+14%)</f>
        <v>74.1</v>
      </c>
      <c r="D94" s="24">
        <f t="shared" si="75"/>
        <v>77.35</v>
      </c>
      <c r="E94" s="24">
        <f t="shared" si="75"/>
        <v>86.71</v>
      </c>
      <c r="F94" s="24">
        <f t="shared" si="75"/>
        <v>89.96</v>
      </c>
    </row>
    <row r="95">
      <c r="A95" s="12"/>
      <c r="B95" s="14" t="s">
        <v>46</v>
      </c>
      <c r="C95" s="46">
        <f t="shared" ref="C95:F95" si="76">(5+30+20+20)*(1+C85+14%)</f>
        <v>85.5</v>
      </c>
      <c r="D95" s="46">
        <f t="shared" si="76"/>
        <v>89.25</v>
      </c>
      <c r="E95" s="46">
        <f t="shared" si="76"/>
        <v>100.05</v>
      </c>
      <c r="F95" s="46">
        <f t="shared" si="76"/>
        <v>103.8</v>
      </c>
    </row>
    <row r="96">
      <c r="A96" s="47" t="s">
        <v>42</v>
      </c>
      <c r="B96" s="14" t="s">
        <v>44</v>
      </c>
      <c r="C96" s="24">
        <f t="shared" ref="C96:F96" si="77">(5+20+20)*(1+C85+16%)</f>
        <v>52.2</v>
      </c>
      <c r="D96" s="24">
        <f t="shared" si="77"/>
        <v>54.45</v>
      </c>
      <c r="E96" s="24">
        <f t="shared" si="77"/>
        <v>60.93</v>
      </c>
      <c r="F96" s="24">
        <f t="shared" si="77"/>
        <v>63.18</v>
      </c>
    </row>
    <row r="97">
      <c r="A97" s="15"/>
      <c r="B97" s="14" t="s">
        <v>45</v>
      </c>
      <c r="C97" s="24">
        <f t="shared" ref="C97:F97" si="78">(5+20+20+20)*(1+C85+16%)</f>
        <v>75.4</v>
      </c>
      <c r="D97" s="24">
        <f t="shared" si="78"/>
        <v>78.65</v>
      </c>
      <c r="E97" s="24">
        <f t="shared" si="78"/>
        <v>88.01</v>
      </c>
      <c r="F97" s="24">
        <f t="shared" si="78"/>
        <v>91.26</v>
      </c>
    </row>
    <row r="98">
      <c r="A98" s="12"/>
      <c r="B98" s="14" t="s">
        <v>46</v>
      </c>
      <c r="C98" s="46">
        <f t="shared" ref="C98:F98" si="79">(5+30+20+20)*(1+C85+16%)</f>
        <v>87</v>
      </c>
      <c r="D98" s="46">
        <f t="shared" si="79"/>
        <v>90.75</v>
      </c>
      <c r="E98" s="46">
        <f t="shared" si="79"/>
        <v>101.55</v>
      </c>
      <c r="F98" s="46">
        <f t="shared" si="79"/>
        <v>105.3</v>
      </c>
    </row>
    <row r="100">
      <c r="A100" s="1" t="s">
        <v>48</v>
      </c>
      <c r="B100" s="2"/>
      <c r="C100" s="2"/>
      <c r="D100" s="2"/>
      <c r="E100" s="2"/>
      <c r="F100" s="3"/>
    </row>
    <row r="101">
      <c r="A101" s="4" t="s">
        <v>1</v>
      </c>
      <c r="B101" s="5">
        <v>130.0</v>
      </c>
      <c r="C101" s="8" t="s">
        <v>49</v>
      </c>
      <c r="D101" s="2"/>
      <c r="E101" s="2"/>
      <c r="F101" s="3"/>
    </row>
    <row r="102">
      <c r="A102" s="8" t="s">
        <v>2</v>
      </c>
      <c r="B102" s="3"/>
      <c r="C102" s="9">
        <v>0.0</v>
      </c>
      <c r="D102" s="9">
        <v>0.05</v>
      </c>
      <c r="E102" s="9">
        <v>0.194</v>
      </c>
      <c r="F102" s="9">
        <v>0.244</v>
      </c>
    </row>
    <row r="103">
      <c r="A103" s="4" t="s">
        <v>3</v>
      </c>
      <c r="B103" s="4" t="s">
        <v>4</v>
      </c>
      <c r="C103" s="4" t="s">
        <v>5</v>
      </c>
      <c r="D103" s="4" t="s">
        <v>6</v>
      </c>
      <c r="E103" s="4" t="s">
        <v>7</v>
      </c>
      <c r="F103" s="4" t="s">
        <v>8</v>
      </c>
    </row>
    <row r="104">
      <c r="A104" s="10" t="s">
        <v>5</v>
      </c>
      <c r="B104" s="14" t="s">
        <v>29</v>
      </c>
      <c r="C104" s="11">
        <f t="shared" ref="C104:F104" si="80">(5+30+4+30+4)*(1+C102)</f>
        <v>73</v>
      </c>
      <c r="D104" s="11">
        <f t="shared" si="80"/>
        <v>76.65</v>
      </c>
      <c r="E104" s="11">
        <f t="shared" si="80"/>
        <v>87.162</v>
      </c>
      <c r="F104" s="11">
        <f t="shared" si="80"/>
        <v>90.812</v>
      </c>
    </row>
    <row r="105">
      <c r="A105" s="12"/>
      <c r="B105" s="14" t="s">
        <v>25</v>
      </c>
      <c r="C105" s="4">
        <f t="shared" ref="C105:F105" si="81">(5+30+4+30+4+30+4)*(1+C102)</f>
        <v>107</v>
      </c>
      <c r="D105" s="4">
        <f t="shared" si="81"/>
        <v>112.35</v>
      </c>
      <c r="E105" s="4">
        <f t="shared" si="81"/>
        <v>127.758</v>
      </c>
      <c r="F105" s="4">
        <f t="shared" si="81"/>
        <v>133.108</v>
      </c>
    </row>
    <row r="106">
      <c r="A106" s="10" t="s">
        <v>11</v>
      </c>
      <c r="B106" s="14" t="s">
        <v>29</v>
      </c>
      <c r="C106" s="13">
        <f t="shared" ref="C106:F106" si="82">(5+7+30+4+30+4)*(1+C102)</f>
        <v>80</v>
      </c>
      <c r="D106" s="13">
        <f t="shared" si="82"/>
        <v>84</v>
      </c>
      <c r="E106" s="13">
        <f t="shared" si="82"/>
        <v>95.52</v>
      </c>
      <c r="F106" s="13">
        <f t="shared" si="82"/>
        <v>99.52</v>
      </c>
    </row>
    <row r="107">
      <c r="A107" s="12"/>
      <c r="B107" s="14" t="s">
        <v>25</v>
      </c>
      <c r="C107" s="13">
        <f t="shared" ref="C107:F107" si="83">(5+7+30+4+30+4+30+4)*(1+C102)</f>
        <v>114</v>
      </c>
      <c r="D107" s="13">
        <f t="shared" si="83"/>
        <v>119.7</v>
      </c>
      <c r="E107" s="13">
        <f t="shared" si="83"/>
        <v>136.116</v>
      </c>
      <c r="F107" s="13">
        <f t="shared" si="83"/>
        <v>141.816</v>
      </c>
    </row>
    <row r="108">
      <c r="A108" s="10" t="s">
        <v>12</v>
      </c>
      <c r="B108" s="14" t="s">
        <v>29</v>
      </c>
      <c r="C108" s="13">
        <f t="shared" ref="C108:F108" si="84">(5+8+30+4+30+4)*(1+C102)</f>
        <v>81</v>
      </c>
      <c r="D108" s="13">
        <f t="shared" si="84"/>
        <v>85.05</v>
      </c>
      <c r="E108" s="13">
        <f t="shared" si="84"/>
        <v>96.714</v>
      </c>
      <c r="F108" s="13">
        <f t="shared" si="84"/>
        <v>100.764</v>
      </c>
    </row>
    <row r="109">
      <c r="A109" s="12"/>
      <c r="B109" s="14" t="s">
        <v>25</v>
      </c>
      <c r="C109" s="13">
        <f t="shared" ref="C109:F109" si="85">(5+8+30+4+30+4+30+4)*(1+C102)</f>
        <v>115</v>
      </c>
      <c r="D109" s="13">
        <f t="shared" si="85"/>
        <v>120.75</v>
      </c>
      <c r="E109" s="13">
        <f t="shared" si="85"/>
        <v>137.31</v>
      </c>
      <c r="F109" s="13">
        <f t="shared" si="85"/>
        <v>143.06</v>
      </c>
    </row>
    <row r="110">
      <c r="A110" s="4" t="s">
        <v>3</v>
      </c>
      <c r="B110" s="4" t="s">
        <v>50</v>
      </c>
      <c r="C110" s="8" t="s">
        <v>51</v>
      </c>
      <c r="D110" s="2"/>
      <c r="E110" s="2"/>
      <c r="F110" s="3"/>
    </row>
    <row r="111">
      <c r="A111" s="10" t="s">
        <v>5</v>
      </c>
      <c r="B111" s="14" t="s">
        <v>29</v>
      </c>
      <c r="C111" s="11">
        <f t="shared" ref="C111:F111" si="86">(5+30+4+30+4+10)*(1+C102)</f>
        <v>83</v>
      </c>
      <c r="D111" s="11">
        <f t="shared" si="86"/>
        <v>87.15</v>
      </c>
      <c r="E111" s="11">
        <f t="shared" si="86"/>
        <v>99.102</v>
      </c>
      <c r="F111" s="11">
        <f t="shared" si="86"/>
        <v>103.252</v>
      </c>
    </row>
    <row r="112">
      <c r="A112" s="12"/>
      <c r="B112" s="14" t="s">
        <v>25</v>
      </c>
      <c r="C112" s="4">
        <f t="shared" ref="C112:F112" si="87">(5+30+4+30+4+30+4+10)*(1+C102)</f>
        <v>117</v>
      </c>
      <c r="D112" s="4">
        <f t="shared" si="87"/>
        <v>122.85</v>
      </c>
      <c r="E112" s="4">
        <f t="shared" si="87"/>
        <v>139.698</v>
      </c>
      <c r="F112" s="4">
        <f t="shared" si="87"/>
        <v>145.548</v>
      </c>
    </row>
    <row r="113">
      <c r="A113" s="10" t="s">
        <v>11</v>
      </c>
      <c r="B113" s="14" t="s">
        <v>29</v>
      </c>
      <c r="C113" s="13">
        <f t="shared" ref="C113:F113" si="88">(5+7+30+4+30+4+10)*(1+C102)</f>
        <v>90</v>
      </c>
      <c r="D113" s="13">
        <f t="shared" si="88"/>
        <v>94.5</v>
      </c>
      <c r="E113" s="13">
        <f t="shared" si="88"/>
        <v>107.46</v>
      </c>
      <c r="F113" s="13">
        <f t="shared" si="88"/>
        <v>111.96</v>
      </c>
    </row>
    <row r="114">
      <c r="A114" s="12"/>
      <c r="B114" s="14" t="s">
        <v>25</v>
      </c>
      <c r="C114" s="13">
        <f t="shared" ref="C114:F114" si="89">(5+7+30+4+30+4+30+4+10)*(1+C102)</f>
        <v>124</v>
      </c>
      <c r="D114" s="13">
        <f t="shared" si="89"/>
        <v>130.2</v>
      </c>
      <c r="E114" s="13">
        <f t="shared" si="89"/>
        <v>148.056</v>
      </c>
      <c r="F114" s="13">
        <f t="shared" si="89"/>
        <v>154.256</v>
      </c>
    </row>
    <row r="115">
      <c r="A115" s="10" t="s">
        <v>12</v>
      </c>
      <c r="B115" s="14" t="s">
        <v>29</v>
      </c>
      <c r="C115" s="13">
        <f t="shared" ref="C115:F115" si="90">(5+8+30+4+30+4+10)*(1+C102)</f>
        <v>91</v>
      </c>
      <c r="D115" s="13">
        <f t="shared" si="90"/>
        <v>95.55</v>
      </c>
      <c r="E115" s="13">
        <f t="shared" si="90"/>
        <v>108.654</v>
      </c>
      <c r="F115" s="13">
        <f t="shared" si="90"/>
        <v>113.204</v>
      </c>
    </row>
    <row r="116">
      <c r="A116" s="12"/>
      <c r="B116" s="14" t="s">
        <v>25</v>
      </c>
      <c r="C116" s="13">
        <f t="shared" ref="C116:F116" si="91">(5+8+30+4+30+4+30+4+10)*(1+C102)</f>
        <v>125</v>
      </c>
      <c r="D116" s="13">
        <f t="shared" si="91"/>
        <v>131.25</v>
      </c>
      <c r="E116" s="13">
        <f t="shared" si="91"/>
        <v>149.25</v>
      </c>
      <c r="F116" s="13">
        <f t="shared" si="91"/>
        <v>155.5</v>
      </c>
    </row>
    <row r="117">
      <c r="A117" s="4" t="s">
        <v>3</v>
      </c>
      <c r="B117" s="4" t="s">
        <v>52</v>
      </c>
      <c r="C117" s="8" t="s">
        <v>53</v>
      </c>
      <c r="D117" s="2"/>
      <c r="E117" s="2"/>
      <c r="F117" s="3"/>
    </row>
    <row r="118">
      <c r="A118" s="10" t="s">
        <v>5</v>
      </c>
      <c r="B118" s="14" t="s">
        <v>29</v>
      </c>
      <c r="C118" s="11">
        <f t="shared" ref="C118:F118" si="92">(5+30+6+30+4+10)*(1+C102)</f>
        <v>85</v>
      </c>
      <c r="D118" s="11">
        <f t="shared" si="92"/>
        <v>89.25</v>
      </c>
      <c r="E118" s="11">
        <f t="shared" si="92"/>
        <v>101.49</v>
      </c>
      <c r="F118" s="11">
        <f t="shared" si="92"/>
        <v>105.74</v>
      </c>
    </row>
    <row r="119">
      <c r="A119" s="12"/>
      <c r="B119" s="14" t="s">
        <v>25</v>
      </c>
      <c r="C119" s="4">
        <f t="shared" ref="C119:F119" si="93">(5+30+6+30+4+30+4+10)*(1+C102)</f>
        <v>119</v>
      </c>
      <c r="D119" s="4">
        <f t="shared" si="93"/>
        <v>124.95</v>
      </c>
      <c r="E119" s="4">
        <f t="shared" si="93"/>
        <v>142.086</v>
      </c>
      <c r="F119" s="4">
        <f t="shared" si="93"/>
        <v>148.036</v>
      </c>
    </row>
    <row r="120">
      <c r="A120" s="10" t="s">
        <v>11</v>
      </c>
      <c r="B120" s="14" t="s">
        <v>29</v>
      </c>
      <c r="C120" s="13">
        <f t="shared" ref="C120:F120" si="94">(5+7+30+6+30+4+10)*(1+C102)</f>
        <v>92</v>
      </c>
      <c r="D120" s="13">
        <f t="shared" si="94"/>
        <v>96.6</v>
      </c>
      <c r="E120" s="13">
        <f t="shared" si="94"/>
        <v>109.848</v>
      </c>
      <c r="F120" s="13">
        <f t="shared" si="94"/>
        <v>114.448</v>
      </c>
    </row>
    <row r="121">
      <c r="A121" s="12"/>
      <c r="B121" s="14" t="s">
        <v>25</v>
      </c>
      <c r="C121" s="13">
        <f t="shared" ref="C121:F121" si="95">(5+7+30+6+30+4+30+4+10)*(1+C102)</f>
        <v>126</v>
      </c>
      <c r="D121" s="13">
        <f t="shared" si="95"/>
        <v>132.3</v>
      </c>
      <c r="E121" s="13">
        <f t="shared" si="95"/>
        <v>150.444</v>
      </c>
      <c r="F121" s="13">
        <f t="shared" si="95"/>
        <v>156.744</v>
      </c>
    </row>
    <row r="122">
      <c r="A122" s="10" t="s">
        <v>12</v>
      </c>
      <c r="B122" s="14" t="s">
        <v>29</v>
      </c>
      <c r="C122" s="13">
        <f t="shared" ref="C122:F122" si="96">(5+8+30+6+30+4+10)*(1+C102)</f>
        <v>93</v>
      </c>
      <c r="D122" s="13">
        <f t="shared" si="96"/>
        <v>97.65</v>
      </c>
      <c r="E122" s="13">
        <f t="shared" si="96"/>
        <v>111.042</v>
      </c>
      <c r="F122" s="13">
        <f t="shared" si="96"/>
        <v>115.692</v>
      </c>
    </row>
    <row r="123">
      <c r="A123" s="12"/>
      <c r="B123" s="14" t="s">
        <v>25</v>
      </c>
      <c r="C123" s="13">
        <f t="shared" ref="C123:F123" si="97">(5+8+30+6+30+4+30+4+10)*(1+C102)</f>
        <v>127</v>
      </c>
      <c r="D123" s="13">
        <f t="shared" si="97"/>
        <v>133.35</v>
      </c>
      <c r="E123" s="13">
        <f t="shared" si="97"/>
        <v>151.638</v>
      </c>
      <c r="F123" s="13">
        <f t="shared" si="97"/>
        <v>157.988</v>
      </c>
    </row>
    <row r="125">
      <c r="A125" s="1" t="s">
        <v>54</v>
      </c>
      <c r="B125" s="2"/>
      <c r="C125" s="2"/>
      <c r="D125" s="2"/>
      <c r="E125" s="2"/>
      <c r="F125" s="3"/>
    </row>
    <row r="126">
      <c r="A126" s="4" t="s">
        <v>1</v>
      </c>
      <c r="B126" s="5">
        <v>130.0</v>
      </c>
      <c r="C126" s="6"/>
      <c r="D126" s="2"/>
      <c r="E126" s="2"/>
      <c r="F126" s="3"/>
    </row>
    <row r="127">
      <c r="A127" s="8" t="s">
        <v>2</v>
      </c>
      <c r="B127" s="3"/>
      <c r="C127" s="9">
        <v>0.0</v>
      </c>
      <c r="D127" s="9">
        <v>0.05</v>
      </c>
      <c r="E127" s="9">
        <v>0.194</v>
      </c>
      <c r="F127" s="9">
        <v>0.244</v>
      </c>
    </row>
    <row r="128">
      <c r="A128" s="4" t="s">
        <v>3</v>
      </c>
      <c r="B128" s="4" t="s">
        <v>4</v>
      </c>
      <c r="C128" s="4" t="s">
        <v>5</v>
      </c>
      <c r="D128" s="4" t="s">
        <v>6</v>
      </c>
      <c r="E128" s="4" t="s">
        <v>7</v>
      </c>
      <c r="F128" s="4" t="s">
        <v>8</v>
      </c>
    </row>
    <row r="129">
      <c r="A129" s="10" t="s">
        <v>5</v>
      </c>
      <c r="B129" s="14" t="s">
        <v>14</v>
      </c>
      <c r="C129" s="11">
        <f t="shared" ref="C129:F129" si="98">(5+5+30+5+20+5+20)*(1+C127)</f>
        <v>90</v>
      </c>
      <c r="D129" s="11">
        <f t="shared" si="98"/>
        <v>94.5</v>
      </c>
      <c r="E129" s="11">
        <f t="shared" si="98"/>
        <v>107.46</v>
      </c>
      <c r="F129" s="11">
        <f t="shared" si="98"/>
        <v>111.96</v>
      </c>
    </row>
    <row r="130">
      <c r="A130" s="12"/>
      <c r="B130" s="14" t="s">
        <v>55</v>
      </c>
      <c r="C130" s="4">
        <f t="shared" ref="C130:F130" si="99">(5+5+30+5+20+5+20+5+20)*(1+C127)</f>
        <v>115</v>
      </c>
      <c r="D130" s="4">
        <f t="shared" si="99"/>
        <v>120.75</v>
      </c>
      <c r="E130" s="4">
        <f t="shared" si="99"/>
        <v>137.31</v>
      </c>
      <c r="F130" s="4">
        <f t="shared" si="99"/>
        <v>143.06</v>
      </c>
    </row>
    <row r="131">
      <c r="A131" s="10" t="s">
        <v>11</v>
      </c>
      <c r="B131" s="14" t="s">
        <v>14</v>
      </c>
      <c r="C131" s="13">
        <f t="shared" ref="C131:F131" si="100">(5+5+30+5+20+7+5+20+7)*(1+C127)</f>
        <v>104</v>
      </c>
      <c r="D131" s="13">
        <f t="shared" si="100"/>
        <v>109.2</v>
      </c>
      <c r="E131" s="13">
        <f t="shared" si="100"/>
        <v>124.176</v>
      </c>
      <c r="F131" s="13">
        <f t="shared" si="100"/>
        <v>129.376</v>
      </c>
    </row>
    <row r="132">
      <c r="A132" s="12"/>
      <c r="B132" s="14" t="s">
        <v>55</v>
      </c>
      <c r="C132" s="13">
        <f t="shared" ref="C132:F132" si="101">(5+5+30+5+20+7+5+20+7+5+20+7)*(1+C127)</f>
        <v>136</v>
      </c>
      <c r="D132" s="13">
        <f t="shared" si="101"/>
        <v>142.8</v>
      </c>
      <c r="E132" s="13">
        <f t="shared" si="101"/>
        <v>162.384</v>
      </c>
      <c r="F132" s="13">
        <f t="shared" si="101"/>
        <v>169.184</v>
      </c>
    </row>
    <row r="133">
      <c r="A133" s="10" t="s">
        <v>12</v>
      </c>
      <c r="B133" s="14" t="s">
        <v>14</v>
      </c>
      <c r="C133" s="13">
        <f t="shared" ref="C133:F133" si="102">(5+5+30+5+20+8+5+20+8)*(1+C127)</f>
        <v>106</v>
      </c>
      <c r="D133" s="13">
        <f t="shared" si="102"/>
        <v>111.3</v>
      </c>
      <c r="E133" s="13">
        <f t="shared" si="102"/>
        <v>126.564</v>
      </c>
      <c r="F133" s="13">
        <f t="shared" si="102"/>
        <v>131.864</v>
      </c>
    </row>
    <row r="134">
      <c r="A134" s="12"/>
      <c r="B134" s="14" t="s">
        <v>55</v>
      </c>
      <c r="C134" s="13">
        <f t="shared" ref="C134:F134" si="103">(5+5+30+5+20+8+5+20+8+5+20+8)*(1+C127)</f>
        <v>139</v>
      </c>
      <c r="D134" s="13">
        <f t="shared" si="103"/>
        <v>145.95</v>
      </c>
      <c r="E134" s="13">
        <f t="shared" si="103"/>
        <v>165.966</v>
      </c>
      <c r="F134" s="13">
        <f t="shared" si="103"/>
        <v>172.916</v>
      </c>
    </row>
    <row r="136">
      <c r="A136" s="1" t="s">
        <v>56</v>
      </c>
      <c r="B136" s="2"/>
      <c r="C136" s="2"/>
      <c r="D136" s="2"/>
      <c r="E136" s="2"/>
      <c r="F136" s="3"/>
    </row>
    <row r="137">
      <c r="A137" s="4" t="s">
        <v>1</v>
      </c>
      <c r="B137" s="5">
        <v>120.0</v>
      </c>
      <c r="C137" s="8"/>
      <c r="D137" s="2"/>
      <c r="E137" s="2"/>
      <c r="F137" s="3"/>
    </row>
    <row r="138">
      <c r="A138" s="8" t="s">
        <v>2</v>
      </c>
      <c r="B138" s="3"/>
      <c r="C138" s="9">
        <v>0.0</v>
      </c>
      <c r="D138" s="9">
        <v>0.05</v>
      </c>
      <c r="E138" s="9">
        <v>0.194</v>
      </c>
      <c r="F138" s="9">
        <v>0.244</v>
      </c>
    </row>
    <row r="139">
      <c r="A139" s="4" t="s">
        <v>3</v>
      </c>
      <c r="B139" s="4" t="s">
        <v>4</v>
      </c>
      <c r="C139" s="4" t="s">
        <v>5</v>
      </c>
      <c r="D139" s="4" t="s">
        <v>6</v>
      </c>
      <c r="E139" s="4" t="s">
        <v>7</v>
      </c>
      <c r="F139" s="4" t="s">
        <v>8</v>
      </c>
    </row>
    <row r="140">
      <c r="A140" s="10" t="s">
        <v>5</v>
      </c>
      <c r="B140" s="14" t="s">
        <v>17</v>
      </c>
      <c r="C140" s="11">
        <f t="shared" ref="C140:F140" si="104">(5+30+20)*(1+C138)</f>
        <v>55</v>
      </c>
      <c r="D140" s="11">
        <f t="shared" si="104"/>
        <v>57.75</v>
      </c>
      <c r="E140" s="11">
        <f t="shared" si="104"/>
        <v>65.67</v>
      </c>
      <c r="F140" s="11">
        <f t="shared" si="104"/>
        <v>68.42</v>
      </c>
    </row>
    <row r="141">
      <c r="A141" s="12"/>
      <c r="B141" s="14" t="s">
        <v>29</v>
      </c>
      <c r="C141" s="4">
        <f t="shared" ref="C141:F141" si="105">(5+30+30)*(1+C138)</f>
        <v>65</v>
      </c>
      <c r="D141" s="4">
        <f t="shared" si="105"/>
        <v>68.25</v>
      </c>
      <c r="E141" s="4">
        <f t="shared" si="105"/>
        <v>77.61</v>
      </c>
      <c r="F141" s="4">
        <f t="shared" si="105"/>
        <v>80.86</v>
      </c>
    </row>
    <row r="142">
      <c r="A142" s="10" t="s">
        <v>11</v>
      </c>
      <c r="B142" s="14" t="s">
        <v>29</v>
      </c>
      <c r="C142" s="13">
        <f t="shared" ref="C142:F142" si="106">(5+30+7+20+7)*(1+C138)</f>
        <v>69</v>
      </c>
      <c r="D142" s="13">
        <f t="shared" si="106"/>
        <v>72.45</v>
      </c>
      <c r="E142" s="13">
        <f t="shared" si="106"/>
        <v>82.386</v>
      </c>
      <c r="F142" s="13">
        <f t="shared" si="106"/>
        <v>85.836</v>
      </c>
    </row>
    <row r="143">
      <c r="A143" s="12"/>
      <c r="B143" s="14" t="s">
        <v>17</v>
      </c>
      <c r="C143" s="13">
        <f t="shared" ref="C143:F143" si="107">(5+30+7+30+7)*(1+C138)</f>
        <v>79</v>
      </c>
      <c r="D143" s="13">
        <f t="shared" si="107"/>
        <v>82.95</v>
      </c>
      <c r="E143" s="13">
        <f t="shared" si="107"/>
        <v>94.326</v>
      </c>
      <c r="F143" s="13">
        <f t="shared" si="107"/>
        <v>98.276</v>
      </c>
    </row>
    <row r="144">
      <c r="A144" s="10" t="s">
        <v>12</v>
      </c>
      <c r="B144" s="14" t="s">
        <v>17</v>
      </c>
      <c r="C144" s="13">
        <f t="shared" ref="C144:F144" si="108">(5+30+8+20+8)*(1+C138)</f>
        <v>71</v>
      </c>
      <c r="D144" s="13">
        <f t="shared" si="108"/>
        <v>74.55</v>
      </c>
      <c r="E144" s="13">
        <f t="shared" si="108"/>
        <v>84.774</v>
      </c>
      <c r="F144" s="13">
        <f t="shared" si="108"/>
        <v>88.324</v>
      </c>
    </row>
    <row r="145">
      <c r="A145" s="12"/>
      <c r="B145" s="14" t="s">
        <v>29</v>
      </c>
      <c r="C145" s="13">
        <f t="shared" ref="C145:F145" si="109">(5+30+8+30+8)*(1+C138)</f>
        <v>81</v>
      </c>
      <c r="D145" s="13">
        <f t="shared" si="109"/>
        <v>85.05</v>
      </c>
      <c r="E145" s="13">
        <f t="shared" si="109"/>
        <v>96.714</v>
      </c>
      <c r="F145" s="13">
        <f t="shared" si="109"/>
        <v>100.764</v>
      </c>
    </row>
    <row r="146">
      <c r="A146" s="4" t="s">
        <v>3</v>
      </c>
      <c r="B146" s="4" t="s">
        <v>57</v>
      </c>
      <c r="C146" s="8" t="s">
        <v>58</v>
      </c>
      <c r="D146" s="2"/>
      <c r="E146" s="2"/>
      <c r="F146" s="3"/>
    </row>
    <row r="147">
      <c r="A147" s="10" t="s">
        <v>5</v>
      </c>
      <c r="B147" s="14" t="s">
        <v>17</v>
      </c>
      <c r="C147" s="11">
        <f t="shared" ref="C147:F147" si="110">(5+36+20)*(1+C138)</f>
        <v>61</v>
      </c>
      <c r="D147" s="11">
        <f t="shared" si="110"/>
        <v>64.05</v>
      </c>
      <c r="E147" s="11">
        <f t="shared" si="110"/>
        <v>72.834</v>
      </c>
      <c r="F147" s="11">
        <f t="shared" si="110"/>
        <v>75.884</v>
      </c>
    </row>
    <row r="148">
      <c r="A148" s="12"/>
      <c r="B148" s="14" t="s">
        <v>29</v>
      </c>
      <c r="C148" s="4">
        <f t="shared" ref="C148:F148" si="111">(5+36+36)*(1+C138)</f>
        <v>77</v>
      </c>
      <c r="D148" s="4">
        <f t="shared" si="111"/>
        <v>80.85</v>
      </c>
      <c r="E148" s="4">
        <f t="shared" si="111"/>
        <v>91.938</v>
      </c>
      <c r="F148" s="4">
        <f t="shared" si="111"/>
        <v>95.788</v>
      </c>
    </row>
    <row r="149">
      <c r="A149" s="10" t="s">
        <v>11</v>
      </c>
      <c r="B149" s="14" t="s">
        <v>17</v>
      </c>
      <c r="C149" s="13">
        <f t="shared" ref="C149:F149" si="112">(5+36+7+20+7)*(1+C138)</f>
        <v>75</v>
      </c>
      <c r="D149" s="13">
        <f t="shared" si="112"/>
        <v>78.75</v>
      </c>
      <c r="E149" s="13">
        <f t="shared" si="112"/>
        <v>89.55</v>
      </c>
      <c r="F149" s="13">
        <f t="shared" si="112"/>
        <v>93.3</v>
      </c>
    </row>
    <row r="150">
      <c r="A150" s="12"/>
      <c r="B150" s="14" t="s">
        <v>29</v>
      </c>
      <c r="C150" s="13">
        <f t="shared" ref="C150:F150" si="113">(5+36+7+36+7)*(1+C138)</f>
        <v>91</v>
      </c>
      <c r="D150" s="13">
        <f t="shared" si="113"/>
        <v>95.55</v>
      </c>
      <c r="E150" s="13">
        <f t="shared" si="113"/>
        <v>108.654</v>
      </c>
      <c r="F150" s="13">
        <f t="shared" si="113"/>
        <v>113.204</v>
      </c>
    </row>
    <row r="151">
      <c r="A151" s="10" t="s">
        <v>12</v>
      </c>
      <c r="B151" s="14" t="s">
        <v>17</v>
      </c>
      <c r="C151" s="13">
        <f t="shared" ref="C151:F151" si="114">(5+36+8+20+8)*(1+C138)</f>
        <v>77</v>
      </c>
      <c r="D151" s="13">
        <f t="shared" si="114"/>
        <v>80.85</v>
      </c>
      <c r="E151" s="13">
        <f t="shared" si="114"/>
        <v>91.938</v>
      </c>
      <c r="F151" s="13">
        <f t="shared" si="114"/>
        <v>95.788</v>
      </c>
    </row>
    <row r="152">
      <c r="A152" s="12"/>
      <c r="B152" s="14" t="s">
        <v>29</v>
      </c>
      <c r="C152" s="13">
        <f t="shared" ref="C152:F152" si="115">(5+36+8+36+8)*(1+C138)</f>
        <v>93</v>
      </c>
      <c r="D152" s="13">
        <f t="shared" si="115"/>
        <v>97.65</v>
      </c>
      <c r="E152" s="13">
        <f t="shared" si="115"/>
        <v>111.042</v>
      </c>
      <c r="F152" s="13">
        <f t="shared" si="115"/>
        <v>115.692</v>
      </c>
    </row>
    <row r="153">
      <c r="A153" s="4" t="s">
        <v>3</v>
      </c>
      <c r="B153" s="4" t="s">
        <v>59</v>
      </c>
      <c r="C153" s="8" t="s">
        <v>60</v>
      </c>
      <c r="D153" s="2"/>
      <c r="E153" s="2"/>
      <c r="F153" s="3"/>
    </row>
    <row r="154">
      <c r="A154" s="10" t="s">
        <v>5</v>
      </c>
      <c r="B154" s="14" t="s">
        <v>17</v>
      </c>
      <c r="C154" s="11">
        <f t="shared" ref="C154:F154" si="116">(5+36+20)*(1+C138+15%)</f>
        <v>70.15</v>
      </c>
      <c r="D154" s="11">
        <f t="shared" si="116"/>
        <v>73.2</v>
      </c>
      <c r="E154" s="11">
        <f t="shared" si="116"/>
        <v>81.984</v>
      </c>
      <c r="F154" s="11">
        <f t="shared" si="116"/>
        <v>85.034</v>
      </c>
    </row>
    <row r="155">
      <c r="A155" s="12"/>
      <c r="B155" s="14" t="s">
        <v>29</v>
      </c>
      <c r="C155" s="4">
        <f t="shared" ref="C155:F155" si="117">(5+36+36)*(1+C138+15%)</f>
        <v>88.55</v>
      </c>
      <c r="D155" s="4">
        <f t="shared" si="117"/>
        <v>92.4</v>
      </c>
      <c r="E155" s="4">
        <f t="shared" si="117"/>
        <v>103.488</v>
      </c>
      <c r="F155" s="4">
        <f t="shared" si="117"/>
        <v>107.338</v>
      </c>
    </row>
    <row r="156">
      <c r="A156" s="10" t="s">
        <v>11</v>
      </c>
      <c r="B156" s="14" t="s">
        <v>17</v>
      </c>
      <c r="C156" s="13">
        <f t="shared" ref="C156:F156" si="118">(5+36+7+20+7)*(1+C138+15%)</f>
        <v>86.25</v>
      </c>
      <c r="D156" s="13">
        <f t="shared" si="118"/>
        <v>90</v>
      </c>
      <c r="E156" s="13">
        <f t="shared" si="118"/>
        <v>100.8</v>
      </c>
      <c r="F156" s="13">
        <f t="shared" si="118"/>
        <v>104.55</v>
      </c>
    </row>
    <row r="157">
      <c r="A157" s="15"/>
      <c r="B157" s="14" t="s">
        <v>29</v>
      </c>
      <c r="C157" s="13">
        <f t="shared" ref="C157:F157" si="119">(5+36+7+36+7)*(1+C138+15%)</f>
        <v>104.65</v>
      </c>
      <c r="D157" s="13">
        <f t="shared" si="119"/>
        <v>109.2</v>
      </c>
      <c r="E157" s="13">
        <f t="shared" si="119"/>
        <v>122.304</v>
      </c>
      <c r="F157" s="13">
        <f t="shared" si="119"/>
        <v>126.854</v>
      </c>
    </row>
    <row r="158">
      <c r="A158" s="12"/>
      <c r="B158" s="14" t="s">
        <v>14</v>
      </c>
      <c r="C158" s="13">
        <f t="shared" ref="C158:F158" si="120">(5+36+7+20+7+20+7)*(1+C138+15%)</f>
        <v>117.3</v>
      </c>
      <c r="D158" s="13">
        <f t="shared" si="120"/>
        <v>122.4</v>
      </c>
      <c r="E158" s="13">
        <f t="shared" si="120"/>
        <v>137.088</v>
      </c>
      <c r="F158" s="13">
        <f t="shared" si="120"/>
        <v>142.188</v>
      </c>
    </row>
    <row r="159">
      <c r="A159" s="10" t="s">
        <v>12</v>
      </c>
      <c r="B159" s="14" t="s">
        <v>17</v>
      </c>
      <c r="C159" s="13">
        <f t="shared" ref="C159:F159" si="121">(5+36+8+20+8)*(1+C138+15%)</f>
        <v>88.55</v>
      </c>
      <c r="D159" s="13">
        <f t="shared" si="121"/>
        <v>92.4</v>
      </c>
      <c r="E159" s="13">
        <f t="shared" si="121"/>
        <v>103.488</v>
      </c>
      <c r="F159" s="13">
        <f t="shared" si="121"/>
        <v>107.338</v>
      </c>
    </row>
    <row r="160">
      <c r="A160" s="15"/>
      <c r="B160" s="14" t="s">
        <v>29</v>
      </c>
      <c r="C160" s="13">
        <f t="shared" ref="C160:F160" si="122">(5+36+8+36+8)*(1+C138+15%)</f>
        <v>106.95</v>
      </c>
      <c r="D160" s="13">
        <f t="shared" si="122"/>
        <v>111.6</v>
      </c>
      <c r="E160" s="13">
        <f t="shared" si="122"/>
        <v>124.992</v>
      </c>
      <c r="F160" s="13">
        <f t="shared" si="122"/>
        <v>129.642</v>
      </c>
    </row>
    <row r="161">
      <c r="A161" s="12"/>
      <c r="B161" s="14" t="s">
        <v>14</v>
      </c>
      <c r="C161" s="13">
        <f t="shared" ref="C161:F161" si="123">(5+36+8+20+8+20+8)*(1+C138+15%)</f>
        <v>120.75</v>
      </c>
      <c r="D161" s="13">
        <f t="shared" si="123"/>
        <v>126</v>
      </c>
      <c r="E161" s="13">
        <f t="shared" si="123"/>
        <v>141.12</v>
      </c>
      <c r="F161" s="13">
        <f t="shared" si="123"/>
        <v>146.37</v>
      </c>
    </row>
    <row r="163">
      <c r="A163" s="1" t="s">
        <v>61</v>
      </c>
      <c r="B163" s="2"/>
      <c r="C163" s="2"/>
      <c r="D163" s="2"/>
      <c r="E163" s="2"/>
      <c r="F163" s="3"/>
    </row>
    <row r="164">
      <c r="A164" s="4" t="s">
        <v>1</v>
      </c>
      <c r="B164" s="5">
        <v>140.0</v>
      </c>
      <c r="C164" s="8"/>
      <c r="D164" s="2"/>
      <c r="E164" s="2"/>
      <c r="F164" s="3"/>
    </row>
    <row r="165">
      <c r="A165" s="8" t="s">
        <v>2</v>
      </c>
      <c r="B165" s="3"/>
      <c r="C165" s="9">
        <v>0.0</v>
      </c>
      <c r="D165" s="9">
        <v>0.05</v>
      </c>
      <c r="E165" s="9">
        <v>0.194</v>
      </c>
      <c r="F165" s="9">
        <v>0.244</v>
      </c>
    </row>
    <row r="166">
      <c r="A166" s="4" t="s">
        <v>3</v>
      </c>
      <c r="B166" s="4" t="s">
        <v>4</v>
      </c>
      <c r="C166" s="4" t="s">
        <v>5</v>
      </c>
      <c r="D166" s="4" t="s">
        <v>6</v>
      </c>
      <c r="E166" s="4" t="s">
        <v>7</v>
      </c>
      <c r="F166" s="4" t="s">
        <v>8</v>
      </c>
    </row>
    <row r="167">
      <c r="A167" s="10" t="s">
        <v>5</v>
      </c>
      <c r="B167" s="14" t="s">
        <v>9</v>
      </c>
      <c r="C167" s="11">
        <f t="shared" ref="C167:F167" si="124">(5+30+20+30+8)*(1+C165)</f>
        <v>93</v>
      </c>
      <c r="D167" s="11">
        <f t="shared" si="124"/>
        <v>97.65</v>
      </c>
      <c r="E167" s="11">
        <f t="shared" si="124"/>
        <v>111.042</v>
      </c>
      <c r="F167" s="11">
        <f t="shared" si="124"/>
        <v>115.692</v>
      </c>
    </row>
    <row r="168">
      <c r="A168" s="15"/>
      <c r="B168" s="14" t="s">
        <v>10</v>
      </c>
      <c r="C168" s="4">
        <f t="shared" ref="C168:F168" si="125">(5+20+30+20+4)*(1+C165)</f>
        <v>79</v>
      </c>
      <c r="D168" s="4">
        <f t="shared" si="125"/>
        <v>82.95</v>
      </c>
      <c r="E168" s="4">
        <f t="shared" si="125"/>
        <v>94.326</v>
      </c>
      <c r="F168" s="4">
        <f t="shared" si="125"/>
        <v>98.276</v>
      </c>
    </row>
    <row r="169">
      <c r="A169" s="12"/>
      <c r="B169" s="4" t="s">
        <v>25</v>
      </c>
      <c r="C169" s="11">
        <f t="shared" ref="C169:F169" si="126">(5+30+30+30+12)*(1+C165)</f>
        <v>107</v>
      </c>
      <c r="D169" s="11">
        <f t="shared" si="126"/>
        <v>112.35</v>
      </c>
      <c r="E169" s="11">
        <f t="shared" si="126"/>
        <v>127.758</v>
      </c>
      <c r="F169" s="11">
        <f t="shared" si="126"/>
        <v>133.108</v>
      </c>
    </row>
    <row r="170">
      <c r="A170" s="10" t="s">
        <v>11</v>
      </c>
      <c r="B170" s="14" t="s">
        <v>9</v>
      </c>
      <c r="C170" s="13">
        <f t="shared" ref="C170:F170" si="127">(5+30+20+7+30+4)*(1+C165)</f>
        <v>96</v>
      </c>
      <c r="D170" s="13">
        <f t="shared" si="127"/>
        <v>100.8</v>
      </c>
      <c r="E170" s="13">
        <f t="shared" si="127"/>
        <v>114.624</v>
      </c>
      <c r="F170" s="13">
        <f t="shared" si="127"/>
        <v>119.424</v>
      </c>
    </row>
    <row r="171">
      <c r="A171" s="15"/>
      <c r="B171" s="14" t="s">
        <v>10</v>
      </c>
      <c r="C171" s="13">
        <f t="shared" ref="C171:F171" si="128">(5+20+7+30+20+7+4)*(1+C165)</f>
        <v>93</v>
      </c>
      <c r="D171" s="13">
        <f t="shared" si="128"/>
        <v>97.65</v>
      </c>
      <c r="E171" s="13">
        <f t="shared" si="128"/>
        <v>111.042</v>
      </c>
      <c r="F171" s="13">
        <f t="shared" si="128"/>
        <v>115.692</v>
      </c>
    </row>
    <row r="172">
      <c r="A172" s="12"/>
      <c r="B172" s="4" t="s">
        <v>25</v>
      </c>
      <c r="C172" s="11">
        <f t="shared" ref="C172:F172" si="129">(5+30+7+30+7+30+7+12)*(1+C165)</f>
        <v>128</v>
      </c>
      <c r="D172" s="11">
        <f t="shared" si="129"/>
        <v>134.4</v>
      </c>
      <c r="E172" s="11">
        <f t="shared" si="129"/>
        <v>152.832</v>
      </c>
      <c r="F172" s="11">
        <f t="shared" si="129"/>
        <v>159.232</v>
      </c>
    </row>
    <row r="173">
      <c r="A173" s="10" t="s">
        <v>12</v>
      </c>
      <c r="B173" s="14" t="s">
        <v>9</v>
      </c>
      <c r="C173" s="13">
        <f t="shared" ref="C173:F173" si="130">(5+30+20+8+30+4)*(1+C165)</f>
        <v>97</v>
      </c>
      <c r="D173" s="13">
        <f t="shared" si="130"/>
        <v>101.85</v>
      </c>
      <c r="E173" s="13">
        <f t="shared" si="130"/>
        <v>115.818</v>
      </c>
      <c r="F173" s="13">
        <f t="shared" si="130"/>
        <v>120.668</v>
      </c>
    </row>
    <row r="174">
      <c r="A174" s="15"/>
      <c r="B174" s="14" t="s">
        <v>10</v>
      </c>
      <c r="C174" s="13">
        <f t="shared" ref="C174:F174" si="131">(5+20+8+30+20+8+4)*(1+C165)</f>
        <v>95</v>
      </c>
      <c r="D174" s="13">
        <f t="shared" si="131"/>
        <v>99.75</v>
      </c>
      <c r="E174" s="13">
        <f t="shared" si="131"/>
        <v>113.43</v>
      </c>
      <c r="F174" s="13">
        <f t="shared" si="131"/>
        <v>118.18</v>
      </c>
    </row>
    <row r="175">
      <c r="A175" s="12"/>
      <c r="B175" s="4" t="s">
        <v>25</v>
      </c>
      <c r="C175" s="11">
        <f t="shared" ref="C175:F175" si="132">(5+30+8+30+8+30+8+12)*(1+C165)</f>
        <v>131</v>
      </c>
      <c r="D175" s="11">
        <f t="shared" si="132"/>
        <v>137.55</v>
      </c>
      <c r="E175" s="11">
        <f t="shared" si="132"/>
        <v>156.414</v>
      </c>
      <c r="F175" s="11">
        <f t="shared" si="132"/>
        <v>162.964</v>
      </c>
    </row>
    <row r="176">
      <c r="A176" s="10" t="s">
        <v>62</v>
      </c>
      <c r="B176" s="14" t="s">
        <v>9</v>
      </c>
      <c r="C176" s="11">
        <f t="shared" ref="C176:F176" si="133">(5+30+20+30+8)*(1+C165+10%)</f>
        <v>102.3</v>
      </c>
      <c r="D176" s="11">
        <f t="shared" si="133"/>
        <v>106.95</v>
      </c>
      <c r="E176" s="11">
        <f t="shared" si="133"/>
        <v>120.342</v>
      </c>
      <c r="F176" s="11">
        <f t="shared" si="133"/>
        <v>124.992</v>
      </c>
    </row>
    <row r="177">
      <c r="A177" s="15"/>
      <c r="B177" s="14" t="s">
        <v>10</v>
      </c>
      <c r="C177" s="11">
        <f t="shared" ref="C177:F177" si="134">(5+20+30+20+4)*(1+C165+10%)</f>
        <v>86.9</v>
      </c>
      <c r="D177" s="11">
        <f t="shared" si="134"/>
        <v>90.85</v>
      </c>
      <c r="E177" s="11">
        <f t="shared" si="134"/>
        <v>102.226</v>
      </c>
      <c r="F177" s="11">
        <f t="shared" si="134"/>
        <v>106.176</v>
      </c>
    </row>
    <row r="178">
      <c r="A178" s="12"/>
      <c r="B178" s="4" t="s">
        <v>25</v>
      </c>
      <c r="C178" s="49">
        <f t="shared" ref="C178:F178" si="135">(5+30+30+30+12)*(1+C165+10%)</f>
        <v>117.7</v>
      </c>
      <c r="D178" s="49">
        <f t="shared" si="135"/>
        <v>123.05</v>
      </c>
      <c r="E178" s="49">
        <f t="shared" si="135"/>
        <v>138.458</v>
      </c>
      <c r="F178" s="49">
        <f t="shared" si="135"/>
        <v>143.808</v>
      </c>
    </row>
    <row r="180">
      <c r="A180" s="1" t="s">
        <v>63</v>
      </c>
      <c r="B180" s="2"/>
      <c r="C180" s="2"/>
      <c r="D180" s="2"/>
      <c r="E180" s="2"/>
      <c r="F180" s="3"/>
    </row>
    <row r="181">
      <c r="A181" s="4" t="s">
        <v>1</v>
      </c>
      <c r="B181" s="5">
        <v>100.0</v>
      </c>
      <c r="C181" s="6"/>
      <c r="D181" s="2"/>
      <c r="E181" s="2"/>
      <c r="F181" s="3"/>
    </row>
    <row r="182">
      <c r="A182" s="8" t="s">
        <v>2</v>
      </c>
      <c r="B182" s="3"/>
      <c r="C182" s="9">
        <v>0.0</v>
      </c>
      <c r="D182" s="9">
        <v>0.05</v>
      </c>
      <c r="E182" s="9">
        <v>0.194</v>
      </c>
      <c r="F182" s="9">
        <v>0.244</v>
      </c>
    </row>
    <row r="183">
      <c r="A183" s="4" t="s">
        <v>3</v>
      </c>
      <c r="B183" s="4" t="s">
        <v>4</v>
      </c>
      <c r="C183" s="4" t="s">
        <v>5</v>
      </c>
      <c r="D183" s="4" t="s">
        <v>6</v>
      </c>
      <c r="E183" s="4" t="s">
        <v>7</v>
      </c>
      <c r="F183" s="4" t="s">
        <v>8</v>
      </c>
    </row>
    <row r="184">
      <c r="A184" s="10" t="s">
        <v>5</v>
      </c>
      <c r="B184" s="14" t="s">
        <v>32</v>
      </c>
      <c r="C184" s="11">
        <f t="shared" ref="C184:F184" si="136">(5+20+20+30)*(1+C182)</f>
        <v>75</v>
      </c>
      <c r="D184" s="11">
        <f t="shared" si="136"/>
        <v>78.75</v>
      </c>
      <c r="E184" s="11">
        <f t="shared" si="136"/>
        <v>89.55</v>
      </c>
      <c r="F184" s="11">
        <f t="shared" si="136"/>
        <v>93.3</v>
      </c>
    </row>
    <row r="185">
      <c r="A185" s="15"/>
      <c r="B185" s="14" t="s">
        <v>64</v>
      </c>
      <c r="C185" s="4">
        <f t="shared" ref="C185:F185" si="137">(20+20+20+30)*(1+C182)</f>
        <v>90</v>
      </c>
      <c r="D185" s="4">
        <f t="shared" si="137"/>
        <v>94.5</v>
      </c>
      <c r="E185" s="4">
        <f t="shared" si="137"/>
        <v>107.46</v>
      </c>
      <c r="F185" s="4">
        <f t="shared" si="137"/>
        <v>111.96</v>
      </c>
    </row>
    <row r="186">
      <c r="A186" s="12"/>
      <c r="B186" s="14" t="s">
        <v>29</v>
      </c>
      <c r="C186" s="11">
        <f t="shared" ref="C186:F186" si="138">(5+30+30)*(1+C182)</f>
        <v>65</v>
      </c>
      <c r="D186" s="11">
        <f t="shared" si="138"/>
        <v>68.25</v>
      </c>
      <c r="E186" s="11">
        <f t="shared" si="138"/>
        <v>77.61</v>
      </c>
      <c r="F186" s="11">
        <f t="shared" si="138"/>
        <v>80.86</v>
      </c>
    </row>
    <row r="187">
      <c r="A187" s="10" t="s">
        <v>34</v>
      </c>
      <c r="B187" s="14" t="s">
        <v>32</v>
      </c>
      <c r="C187" s="11">
        <f t="shared" ref="C187:F187" si="139">(5+20+20+30)*(1+C182+10%)</f>
        <v>82.5</v>
      </c>
      <c r="D187" s="11">
        <f t="shared" si="139"/>
        <v>86.25</v>
      </c>
      <c r="E187" s="11">
        <f t="shared" si="139"/>
        <v>97.05</v>
      </c>
      <c r="F187" s="11">
        <f t="shared" si="139"/>
        <v>100.8</v>
      </c>
    </row>
    <row r="188">
      <c r="A188" s="15"/>
      <c r="B188" s="14" t="s">
        <v>64</v>
      </c>
      <c r="C188" s="4">
        <f t="shared" ref="C188:F188" si="140">(20+20+20+30)*(1+C182+10%)</f>
        <v>99</v>
      </c>
      <c r="D188" s="4">
        <f t="shared" si="140"/>
        <v>103.5</v>
      </c>
      <c r="E188" s="4">
        <f t="shared" si="140"/>
        <v>116.46</v>
      </c>
      <c r="F188" s="4">
        <f t="shared" si="140"/>
        <v>120.96</v>
      </c>
    </row>
    <row r="189">
      <c r="A189" s="12"/>
      <c r="B189" s="14" t="s">
        <v>29</v>
      </c>
      <c r="C189" s="11">
        <f t="shared" ref="C189:F189" si="141">(5+20+30+30)*(1+C182+10%)</f>
        <v>93.5</v>
      </c>
      <c r="D189" s="11">
        <f t="shared" si="141"/>
        <v>97.75</v>
      </c>
      <c r="E189" s="11">
        <f t="shared" si="141"/>
        <v>109.99</v>
      </c>
      <c r="F189" s="11">
        <f t="shared" si="141"/>
        <v>114.24</v>
      </c>
    </row>
    <row r="191">
      <c r="A191" s="50" t="s">
        <v>65</v>
      </c>
      <c r="B191" s="2"/>
      <c r="C191" s="2"/>
      <c r="D191" s="2"/>
      <c r="E191" s="2"/>
      <c r="F191" s="3"/>
    </row>
    <row r="192">
      <c r="A192" s="4" t="s">
        <v>1</v>
      </c>
      <c r="B192" s="5">
        <v>100.0</v>
      </c>
      <c r="C192" s="8" t="s">
        <v>66</v>
      </c>
      <c r="D192" s="2"/>
      <c r="E192" s="2"/>
      <c r="F192" s="3"/>
    </row>
    <row r="193">
      <c r="A193" s="8" t="s">
        <v>2</v>
      </c>
      <c r="B193" s="3"/>
      <c r="C193" s="9">
        <v>0.0</v>
      </c>
      <c r="D193" s="9">
        <v>0.05</v>
      </c>
      <c r="E193" s="9">
        <v>0.194</v>
      </c>
      <c r="F193" s="9">
        <v>0.244</v>
      </c>
    </row>
    <row r="194">
      <c r="A194" s="14" t="s">
        <v>3</v>
      </c>
      <c r="B194" s="14" t="s">
        <v>4</v>
      </c>
      <c r="C194" s="14" t="s">
        <v>5</v>
      </c>
      <c r="D194" s="14" t="s">
        <v>6</v>
      </c>
      <c r="E194" s="14" t="s">
        <v>7</v>
      </c>
      <c r="F194" s="14" t="s">
        <v>8</v>
      </c>
    </row>
    <row r="195">
      <c r="A195" s="47" t="s">
        <v>5</v>
      </c>
      <c r="B195" s="14" t="s">
        <v>44</v>
      </c>
      <c r="C195" s="46">
        <f t="shared" ref="C195:F195" si="142">(5+20+20)*(1+C193)</f>
        <v>45</v>
      </c>
      <c r="D195" s="46">
        <f t="shared" si="142"/>
        <v>47.25</v>
      </c>
      <c r="E195" s="46">
        <f t="shared" si="142"/>
        <v>53.73</v>
      </c>
      <c r="F195" s="46">
        <f t="shared" si="142"/>
        <v>55.98</v>
      </c>
    </row>
    <row r="196">
      <c r="A196" s="15"/>
      <c r="B196" s="14" t="s">
        <v>67</v>
      </c>
      <c r="C196" s="14">
        <f>(5+30+20)*(1+C193)</f>
        <v>55</v>
      </c>
      <c r="D196" s="14">
        <f t="shared" ref="D196:F196" si="143">(5+20+20+20)*(1+D192)</f>
        <v>65</v>
      </c>
      <c r="E196" s="14">
        <f t="shared" si="143"/>
        <v>65</v>
      </c>
      <c r="F196" s="14">
        <f t="shared" si="143"/>
        <v>65</v>
      </c>
    </row>
    <row r="197">
      <c r="A197" s="15"/>
      <c r="B197" s="14" t="s">
        <v>68</v>
      </c>
      <c r="C197" s="14">
        <f>(5+30+20+20)*(1+C193)</f>
        <v>75</v>
      </c>
      <c r="D197" s="14">
        <f t="shared" ref="D197:F197" si="144">(5+20+20+20)*(1+D193)</f>
        <v>68.25</v>
      </c>
      <c r="E197" s="14">
        <f t="shared" si="144"/>
        <v>77.61</v>
      </c>
      <c r="F197" s="14">
        <f t="shared" si="144"/>
        <v>80.86</v>
      </c>
    </row>
    <row r="198">
      <c r="A198" s="12"/>
      <c r="B198" s="14" t="s">
        <v>45</v>
      </c>
      <c r="C198" s="46">
        <f>(5+20+20+20)*(1+C193)</f>
        <v>65</v>
      </c>
      <c r="D198" s="46">
        <f t="shared" ref="D198:F198" si="145">(5+30+20+20)*(1+D193)</f>
        <v>78.75</v>
      </c>
      <c r="E198" s="46">
        <f t="shared" si="145"/>
        <v>89.55</v>
      </c>
      <c r="F198" s="46">
        <f t="shared" si="145"/>
        <v>93.3</v>
      </c>
    </row>
    <row r="199">
      <c r="A199" s="47" t="s">
        <v>47</v>
      </c>
      <c r="B199" s="14" t="s">
        <v>44</v>
      </c>
      <c r="C199" s="24">
        <f t="shared" ref="C199:F199" si="146">(5+20+20)*(1+C193+12%)</f>
        <v>50.4</v>
      </c>
      <c r="D199" s="24">
        <f t="shared" si="146"/>
        <v>52.65</v>
      </c>
      <c r="E199" s="24">
        <f t="shared" si="146"/>
        <v>59.13</v>
      </c>
      <c r="F199" s="24">
        <f t="shared" si="146"/>
        <v>61.38</v>
      </c>
    </row>
    <row r="200">
      <c r="A200" s="15"/>
      <c r="B200" s="14" t="s">
        <v>67</v>
      </c>
      <c r="C200" s="24">
        <f t="shared" ref="C200:F200" si="147">(5+30+20)*(1+C193+12%)</f>
        <v>61.6</v>
      </c>
      <c r="D200" s="24">
        <f t="shared" si="147"/>
        <v>64.35</v>
      </c>
      <c r="E200" s="24">
        <f t="shared" si="147"/>
        <v>72.27</v>
      </c>
      <c r="F200" s="24">
        <f t="shared" si="147"/>
        <v>75.02</v>
      </c>
    </row>
    <row r="201">
      <c r="A201" s="15"/>
      <c r="B201" s="14" t="s">
        <v>68</v>
      </c>
      <c r="C201" s="24">
        <f>(5+30+20+20)*(1+C193+12%)</f>
        <v>84</v>
      </c>
      <c r="D201" s="24">
        <f t="shared" ref="D201:F201" si="148">(5+20+20+20)*(1+D193+12%)</f>
        <v>76.05</v>
      </c>
      <c r="E201" s="24">
        <f t="shared" si="148"/>
        <v>85.41</v>
      </c>
      <c r="F201" s="24">
        <f t="shared" si="148"/>
        <v>88.66</v>
      </c>
    </row>
    <row r="202">
      <c r="A202" s="12"/>
      <c r="B202" s="14" t="s">
        <v>45</v>
      </c>
      <c r="C202" s="46">
        <f>(5+20+20+20)*(1+C193+12%)</f>
        <v>72.8</v>
      </c>
      <c r="D202" s="46">
        <f t="shared" ref="D202:F202" si="149">(5+30+20+20)*(1+D193+12%)</f>
        <v>87.75</v>
      </c>
      <c r="E202" s="46">
        <f t="shared" si="149"/>
        <v>98.55</v>
      </c>
      <c r="F202" s="46">
        <f t="shared" si="149"/>
        <v>102.3</v>
      </c>
    </row>
    <row r="203">
      <c r="A203" s="47" t="s">
        <v>69</v>
      </c>
      <c r="B203" s="14" t="s">
        <v>44</v>
      </c>
      <c r="C203" s="24">
        <f t="shared" ref="C203:F203" si="150">(5+9+20+3+20+3)*(1+C193)</f>
        <v>60</v>
      </c>
      <c r="D203" s="24">
        <f t="shared" si="150"/>
        <v>63</v>
      </c>
      <c r="E203" s="24">
        <f t="shared" si="150"/>
        <v>71.64</v>
      </c>
      <c r="F203" s="24">
        <f t="shared" si="150"/>
        <v>74.64</v>
      </c>
    </row>
    <row r="204">
      <c r="A204" s="15"/>
      <c r="B204" s="14" t="s">
        <v>67</v>
      </c>
      <c r="C204" s="24">
        <f t="shared" ref="C204:F204" si="151">(5+9+30+20+3)*(1+C193)</f>
        <v>67</v>
      </c>
      <c r="D204" s="24">
        <f t="shared" si="151"/>
        <v>70.35</v>
      </c>
      <c r="E204" s="24">
        <f t="shared" si="151"/>
        <v>79.998</v>
      </c>
      <c r="F204" s="24">
        <f t="shared" si="151"/>
        <v>83.348</v>
      </c>
    </row>
    <row r="205">
      <c r="A205" s="15"/>
      <c r="B205" s="14" t="s">
        <v>68</v>
      </c>
      <c r="C205" s="24">
        <f t="shared" ref="C205:F205" si="152">(5+3+30+3+20+3+20+3)*(1+C193)</f>
        <v>87</v>
      </c>
      <c r="D205" s="24">
        <f t="shared" si="152"/>
        <v>91.35</v>
      </c>
      <c r="E205" s="24">
        <f t="shared" si="152"/>
        <v>103.878</v>
      </c>
      <c r="F205" s="24">
        <f t="shared" si="152"/>
        <v>108.228</v>
      </c>
    </row>
    <row r="206">
      <c r="A206" s="12"/>
      <c r="B206" s="14" t="s">
        <v>45</v>
      </c>
      <c r="C206" s="46">
        <f t="shared" ref="C206:F206" si="153">(5+9+20+20+3+20+3)*(1+C193)</f>
        <v>80</v>
      </c>
      <c r="D206" s="46">
        <f t="shared" si="153"/>
        <v>84</v>
      </c>
      <c r="E206" s="46">
        <f t="shared" si="153"/>
        <v>95.52</v>
      </c>
      <c r="F206" s="46">
        <f t="shared" si="153"/>
        <v>99.52</v>
      </c>
    </row>
    <row r="207">
      <c r="A207" s="47" t="s">
        <v>42</v>
      </c>
      <c r="B207" s="14" t="s">
        <v>44</v>
      </c>
      <c r="C207" s="24">
        <f t="shared" ref="C207:F207" si="154">(5+20+20)*(1+C193+16%)</f>
        <v>52.2</v>
      </c>
      <c r="D207" s="24">
        <f t="shared" si="154"/>
        <v>54.45</v>
      </c>
      <c r="E207" s="24">
        <f t="shared" si="154"/>
        <v>60.93</v>
      </c>
      <c r="F207" s="24">
        <f t="shared" si="154"/>
        <v>63.18</v>
      </c>
    </row>
    <row r="208">
      <c r="A208" s="15"/>
      <c r="B208" s="14" t="s">
        <v>67</v>
      </c>
      <c r="C208" s="24">
        <f t="shared" ref="C208:F208" si="155">(5+30+20)*(1+C193+16%)</f>
        <v>63.8</v>
      </c>
      <c r="D208" s="24">
        <f t="shared" si="155"/>
        <v>66.55</v>
      </c>
      <c r="E208" s="24">
        <f t="shared" si="155"/>
        <v>74.47</v>
      </c>
      <c r="F208" s="24">
        <f t="shared" si="155"/>
        <v>77.22</v>
      </c>
    </row>
    <row r="209">
      <c r="A209" s="15"/>
      <c r="B209" s="14" t="s">
        <v>68</v>
      </c>
      <c r="C209" s="24">
        <f t="shared" ref="C209:F209" si="156">(5+20+20+20)*(1+C193+16%)</f>
        <v>75.4</v>
      </c>
      <c r="D209" s="24">
        <f t="shared" si="156"/>
        <v>78.65</v>
      </c>
      <c r="E209" s="24">
        <f t="shared" si="156"/>
        <v>88.01</v>
      </c>
      <c r="F209" s="24">
        <f t="shared" si="156"/>
        <v>91.26</v>
      </c>
    </row>
    <row r="210">
      <c r="A210" s="12"/>
      <c r="B210" s="14" t="s">
        <v>45</v>
      </c>
      <c r="C210" s="46">
        <f t="shared" ref="C210:F210" si="157">(5+30+20+20)*(1+C193+16%)</f>
        <v>87</v>
      </c>
      <c r="D210" s="46">
        <f t="shared" si="157"/>
        <v>90.75</v>
      </c>
      <c r="E210" s="46">
        <f t="shared" si="157"/>
        <v>101.55</v>
      </c>
      <c r="F210" s="46">
        <f t="shared" si="157"/>
        <v>105.3</v>
      </c>
    </row>
    <row r="212">
      <c r="A212" s="1" t="s">
        <v>70</v>
      </c>
      <c r="B212" s="2"/>
      <c r="C212" s="2"/>
      <c r="D212" s="2"/>
      <c r="E212" s="2"/>
      <c r="F212" s="3"/>
    </row>
    <row r="213">
      <c r="A213" s="4" t="s">
        <v>1</v>
      </c>
      <c r="B213" s="5">
        <v>120.0</v>
      </c>
      <c r="C213" s="6"/>
      <c r="D213" s="2"/>
      <c r="E213" s="2"/>
      <c r="F213" s="3"/>
    </row>
    <row r="214">
      <c r="A214" s="8" t="s">
        <v>2</v>
      </c>
      <c r="B214" s="3"/>
      <c r="C214" s="9">
        <v>0.0</v>
      </c>
      <c r="D214" s="9">
        <v>0.05</v>
      </c>
      <c r="E214" s="9">
        <v>0.194</v>
      </c>
      <c r="F214" s="9">
        <v>0.244</v>
      </c>
    </row>
    <row r="215">
      <c r="A215" s="4" t="s">
        <v>3</v>
      </c>
      <c r="B215" s="4" t="s">
        <v>4</v>
      </c>
      <c r="C215" s="4" t="s">
        <v>5</v>
      </c>
      <c r="D215" s="4" t="s">
        <v>6</v>
      </c>
      <c r="E215" s="4" t="s">
        <v>7</v>
      </c>
      <c r="F215" s="4" t="s">
        <v>8</v>
      </c>
    </row>
    <row r="216">
      <c r="A216" s="10" t="s">
        <v>5</v>
      </c>
      <c r="B216" s="14" t="s">
        <v>17</v>
      </c>
      <c r="C216" s="13">
        <f t="shared" ref="C216:F216" si="158">(15+30+20)*(1+C214)</f>
        <v>65</v>
      </c>
      <c r="D216" s="13">
        <f t="shared" si="158"/>
        <v>68.25</v>
      </c>
      <c r="E216" s="13">
        <f t="shared" si="158"/>
        <v>77.61</v>
      </c>
      <c r="F216" s="13">
        <f t="shared" si="158"/>
        <v>80.86</v>
      </c>
    </row>
    <row r="217">
      <c r="A217" s="15"/>
      <c r="B217" s="14" t="s">
        <v>29</v>
      </c>
      <c r="C217" s="13">
        <f t="shared" ref="C217:F217" si="159">(15+30+30)*(1+C214)</f>
        <v>75</v>
      </c>
      <c r="D217" s="13">
        <f t="shared" si="159"/>
        <v>78.75</v>
      </c>
      <c r="E217" s="13">
        <f t="shared" si="159"/>
        <v>89.55</v>
      </c>
      <c r="F217" s="13">
        <f t="shared" si="159"/>
        <v>93.3</v>
      </c>
    </row>
    <row r="218">
      <c r="A218" s="15"/>
      <c r="B218" s="14" t="s">
        <v>71</v>
      </c>
      <c r="C218" s="11">
        <f t="shared" ref="C218:F218" si="160">(15+30+30+20)*(1+C214)</f>
        <v>95</v>
      </c>
      <c r="D218" s="11">
        <f t="shared" si="160"/>
        <v>99.75</v>
      </c>
      <c r="E218" s="11">
        <f t="shared" si="160"/>
        <v>113.43</v>
      </c>
      <c r="F218" s="11">
        <f t="shared" si="160"/>
        <v>118.18</v>
      </c>
    </row>
    <row r="219">
      <c r="A219" s="12"/>
      <c r="B219" s="14" t="s">
        <v>25</v>
      </c>
      <c r="C219" s="4">
        <f t="shared" ref="C219:F219" si="161">(15+30+30+30)*(1+C214)</f>
        <v>105</v>
      </c>
      <c r="D219" s="4">
        <f t="shared" si="161"/>
        <v>110.25</v>
      </c>
      <c r="E219" s="4">
        <f t="shared" si="161"/>
        <v>125.37</v>
      </c>
      <c r="F219" s="4">
        <f t="shared" si="161"/>
        <v>130.62</v>
      </c>
    </row>
    <row r="220">
      <c r="A220" s="10" t="s">
        <v>72</v>
      </c>
      <c r="B220" s="14" t="s">
        <v>17</v>
      </c>
      <c r="C220" s="13">
        <f t="shared" ref="C220:F220" si="162">(15+30+20)*(1+C214)</f>
        <v>65</v>
      </c>
      <c r="D220" s="13">
        <f t="shared" si="162"/>
        <v>68.25</v>
      </c>
      <c r="E220" s="13">
        <f t="shared" si="162"/>
        <v>77.61</v>
      </c>
      <c r="F220" s="13">
        <f t="shared" si="162"/>
        <v>80.86</v>
      </c>
    </row>
    <row r="221">
      <c r="A221" s="15"/>
      <c r="B221" s="14" t="s">
        <v>29</v>
      </c>
      <c r="C221" s="13">
        <f t="shared" ref="C221:F221" si="163">(15+30+30)*(1+C214)</f>
        <v>75</v>
      </c>
      <c r="D221" s="13">
        <f t="shared" si="163"/>
        <v>78.75</v>
      </c>
      <c r="E221" s="13">
        <f t="shared" si="163"/>
        <v>89.55</v>
      </c>
      <c r="F221" s="13">
        <f t="shared" si="163"/>
        <v>93.3</v>
      </c>
    </row>
    <row r="222">
      <c r="A222" s="15"/>
      <c r="B222" s="14" t="s">
        <v>71</v>
      </c>
      <c r="C222" s="13">
        <f t="shared" ref="C222:F222" si="164">(15+30+30+20)*(1+C214)</f>
        <v>95</v>
      </c>
      <c r="D222" s="13">
        <f t="shared" si="164"/>
        <v>99.75</v>
      </c>
      <c r="E222" s="13">
        <f t="shared" si="164"/>
        <v>113.43</v>
      </c>
      <c r="F222" s="13">
        <f t="shared" si="164"/>
        <v>118.18</v>
      </c>
    </row>
    <row r="223">
      <c r="A223" s="12"/>
      <c r="B223" s="14" t="s">
        <v>25</v>
      </c>
      <c r="C223" s="13">
        <f t="shared" ref="C223:F223" si="165">(15+30+30+30)*(1+C214)</f>
        <v>105</v>
      </c>
      <c r="D223" s="13">
        <f t="shared" si="165"/>
        <v>110.25</v>
      </c>
      <c r="E223" s="13">
        <f t="shared" si="165"/>
        <v>125.37</v>
      </c>
      <c r="F223" s="13">
        <f t="shared" si="165"/>
        <v>130.62</v>
      </c>
    </row>
    <row r="224">
      <c r="A224" s="4" t="s">
        <v>3</v>
      </c>
      <c r="B224" s="14" t="s">
        <v>50</v>
      </c>
      <c r="C224" s="40" t="s">
        <v>73</v>
      </c>
      <c r="D224" s="2"/>
      <c r="E224" s="2"/>
      <c r="F224" s="3"/>
    </row>
    <row r="225">
      <c r="A225" s="10" t="s">
        <v>5</v>
      </c>
      <c r="B225" s="14" t="s">
        <v>17</v>
      </c>
      <c r="C225" s="13">
        <f t="shared" ref="C225:F225" si="166">(15+30+30+20)*(1+C214)</f>
        <v>95</v>
      </c>
      <c r="D225" s="13">
        <f t="shared" si="166"/>
        <v>99.75</v>
      </c>
      <c r="E225" s="13">
        <f t="shared" si="166"/>
        <v>113.43</v>
      </c>
      <c r="F225" s="13">
        <f t="shared" si="166"/>
        <v>118.18</v>
      </c>
    </row>
    <row r="226">
      <c r="A226" s="15"/>
      <c r="B226" s="14" t="s">
        <v>29</v>
      </c>
      <c r="C226" s="13">
        <f t="shared" ref="C226:F226" si="167">(15+30+30+20)*(1+C214)</f>
        <v>95</v>
      </c>
      <c r="D226" s="13">
        <f t="shared" si="167"/>
        <v>99.75</v>
      </c>
      <c r="E226" s="13">
        <f t="shared" si="167"/>
        <v>113.43</v>
      </c>
      <c r="F226" s="13">
        <f t="shared" si="167"/>
        <v>118.18</v>
      </c>
    </row>
    <row r="227">
      <c r="A227" s="15"/>
      <c r="B227" s="14" t="s">
        <v>71</v>
      </c>
      <c r="C227" s="11">
        <f t="shared" ref="C227:F227" si="168">(15+30+30+20)*(1+C214)</f>
        <v>95</v>
      </c>
      <c r="D227" s="11">
        <f t="shared" si="168"/>
        <v>99.75</v>
      </c>
      <c r="E227" s="11">
        <f t="shared" si="168"/>
        <v>113.43</v>
      </c>
      <c r="F227" s="11">
        <f t="shared" si="168"/>
        <v>118.18</v>
      </c>
    </row>
    <row r="228">
      <c r="A228" s="12"/>
      <c r="B228" s="14" t="s">
        <v>25</v>
      </c>
      <c r="C228" s="4">
        <f t="shared" ref="C228:F228" si="169">(15+30+30+30)*(1+C214)</f>
        <v>105</v>
      </c>
      <c r="D228" s="4">
        <f t="shared" si="169"/>
        <v>110.25</v>
      </c>
      <c r="E228" s="4">
        <f t="shared" si="169"/>
        <v>125.37</v>
      </c>
      <c r="F228" s="4">
        <f t="shared" si="169"/>
        <v>130.62</v>
      </c>
    </row>
    <row r="229">
      <c r="A229" s="10" t="s">
        <v>72</v>
      </c>
      <c r="B229" s="14" t="s">
        <v>17</v>
      </c>
      <c r="C229" s="13">
        <f t="shared" ref="C229:F229" si="170">(15+30+9+20+3)*(1+C214)</f>
        <v>77</v>
      </c>
      <c r="D229" s="13">
        <f t="shared" si="170"/>
        <v>80.85</v>
      </c>
      <c r="E229" s="13">
        <f t="shared" si="170"/>
        <v>91.938</v>
      </c>
      <c r="F229" s="13">
        <f t="shared" si="170"/>
        <v>95.788</v>
      </c>
    </row>
    <row r="230">
      <c r="A230" s="15"/>
      <c r="B230" s="14" t="s">
        <v>29</v>
      </c>
      <c r="C230" s="13">
        <f t="shared" ref="C230:F230" si="171">(15+30+9+30+9)*(1+C214)</f>
        <v>93</v>
      </c>
      <c r="D230" s="13">
        <f t="shared" si="171"/>
        <v>97.65</v>
      </c>
      <c r="E230" s="13">
        <f t="shared" si="171"/>
        <v>111.042</v>
      </c>
      <c r="F230" s="13">
        <f t="shared" si="171"/>
        <v>115.692</v>
      </c>
    </row>
    <row r="231">
      <c r="A231" s="15"/>
      <c r="B231" s="14" t="s">
        <v>71</v>
      </c>
      <c r="C231" s="13">
        <f t="shared" ref="C231:F231" si="172">(15+30+9+30+9+20+3)*(1+C214)</f>
        <v>116</v>
      </c>
      <c r="D231" s="13">
        <f t="shared" si="172"/>
        <v>121.8</v>
      </c>
      <c r="E231" s="13">
        <f t="shared" si="172"/>
        <v>138.504</v>
      </c>
      <c r="F231" s="13">
        <f t="shared" si="172"/>
        <v>144.304</v>
      </c>
    </row>
    <row r="232">
      <c r="A232" s="12"/>
      <c r="B232" s="14" t="s">
        <v>25</v>
      </c>
      <c r="C232" s="13">
        <f t="shared" ref="C232:F232" si="173">(15+30+9+30+9+30+9)*(1+C214)</f>
        <v>132</v>
      </c>
      <c r="D232" s="13">
        <f t="shared" si="173"/>
        <v>138.6</v>
      </c>
      <c r="E232" s="13">
        <f t="shared" si="173"/>
        <v>157.608</v>
      </c>
      <c r="F232" s="13">
        <f t="shared" si="173"/>
        <v>164.208</v>
      </c>
    </row>
    <row r="234">
      <c r="A234" s="1" t="s">
        <v>74</v>
      </c>
      <c r="B234" s="2"/>
      <c r="C234" s="2"/>
      <c r="D234" s="2"/>
      <c r="E234" s="2"/>
      <c r="F234" s="3"/>
    </row>
    <row r="235">
      <c r="A235" s="4" t="s">
        <v>1</v>
      </c>
      <c r="B235" s="5">
        <v>110.0</v>
      </c>
      <c r="C235" s="8"/>
      <c r="D235" s="2"/>
      <c r="E235" s="2"/>
      <c r="F235" s="3"/>
    </row>
    <row r="236">
      <c r="A236" s="8" t="s">
        <v>2</v>
      </c>
      <c r="B236" s="3"/>
      <c r="C236" s="9">
        <v>0.0</v>
      </c>
      <c r="D236" s="9">
        <v>0.05</v>
      </c>
      <c r="E236" s="9">
        <v>0.194</v>
      </c>
      <c r="F236" s="9">
        <v>0.244</v>
      </c>
    </row>
    <row r="237">
      <c r="A237" s="4" t="s">
        <v>3</v>
      </c>
      <c r="B237" s="4" t="s">
        <v>4</v>
      </c>
      <c r="C237" s="4" t="s">
        <v>5</v>
      </c>
      <c r="D237" s="4" t="s">
        <v>6</v>
      </c>
      <c r="E237" s="4" t="s">
        <v>7</v>
      </c>
      <c r="F237" s="4" t="s">
        <v>8</v>
      </c>
    </row>
    <row r="238">
      <c r="A238" s="10" t="s">
        <v>5</v>
      </c>
      <c r="B238" s="14" t="s">
        <v>29</v>
      </c>
      <c r="C238" s="11">
        <f t="shared" ref="C238:F238" si="174">(5+30+30)*(1+C236)</f>
        <v>65</v>
      </c>
      <c r="D238" s="11">
        <f t="shared" si="174"/>
        <v>68.25</v>
      </c>
      <c r="E238" s="11">
        <f t="shared" si="174"/>
        <v>77.61</v>
      </c>
      <c r="F238" s="11">
        <f t="shared" si="174"/>
        <v>80.86</v>
      </c>
    </row>
    <row r="239">
      <c r="A239" s="12"/>
      <c r="B239" s="14" t="s">
        <v>25</v>
      </c>
      <c r="C239" s="24">
        <f t="shared" ref="C239:F239" si="175">(5+30+30+30)*(1+C236)</f>
        <v>95</v>
      </c>
      <c r="D239" s="24">
        <f t="shared" si="175"/>
        <v>99.75</v>
      </c>
      <c r="E239" s="24">
        <f t="shared" si="175"/>
        <v>113.43</v>
      </c>
      <c r="F239" s="24">
        <f t="shared" si="175"/>
        <v>118.18</v>
      </c>
    </row>
    <row r="240">
      <c r="A240" s="10" t="s">
        <v>27</v>
      </c>
      <c r="B240" s="14" t="s">
        <v>25</v>
      </c>
      <c r="C240" s="11">
        <f t="shared" ref="C240:F240" si="176">(5+30+30+30)*(1+C236+10%)</f>
        <v>104.5</v>
      </c>
      <c r="D240" s="11">
        <f t="shared" si="176"/>
        <v>109.25</v>
      </c>
      <c r="E240" s="11">
        <f t="shared" si="176"/>
        <v>122.93</v>
      </c>
      <c r="F240" s="11">
        <f t="shared" si="176"/>
        <v>127.68</v>
      </c>
    </row>
    <row r="241">
      <c r="A241" s="12"/>
      <c r="B241" s="14" t="s">
        <v>26</v>
      </c>
      <c r="C241" s="24">
        <f t="shared" ref="C241:F241" si="177">(20+30+30+30)*(1+C236+10%)</f>
        <v>121</v>
      </c>
      <c r="D241" s="24">
        <f t="shared" si="177"/>
        <v>126.5</v>
      </c>
      <c r="E241" s="24">
        <f t="shared" si="177"/>
        <v>142.34</v>
      </c>
      <c r="F241" s="24">
        <f t="shared" si="177"/>
        <v>147.84</v>
      </c>
    </row>
    <row r="243">
      <c r="A243" s="1" t="s">
        <v>75</v>
      </c>
      <c r="B243" s="2"/>
      <c r="C243" s="2"/>
      <c r="D243" s="2"/>
      <c r="E243" s="2"/>
      <c r="F243" s="3"/>
    </row>
    <row r="244">
      <c r="A244" s="4" t="s">
        <v>1</v>
      </c>
      <c r="B244" s="5">
        <v>120.0</v>
      </c>
      <c r="C244" s="8" t="s">
        <v>76</v>
      </c>
      <c r="D244" s="2"/>
      <c r="E244" s="2"/>
      <c r="F244" s="3"/>
    </row>
    <row r="245">
      <c r="A245" s="8" t="s">
        <v>2</v>
      </c>
      <c r="B245" s="3"/>
      <c r="C245" s="9">
        <v>0.0</v>
      </c>
      <c r="D245" s="9">
        <v>0.05</v>
      </c>
      <c r="E245" s="9">
        <v>0.194</v>
      </c>
      <c r="F245" s="9">
        <v>0.244</v>
      </c>
    </row>
    <row r="246">
      <c r="A246" s="4" t="s">
        <v>3</v>
      </c>
      <c r="B246" s="4" t="s">
        <v>4</v>
      </c>
      <c r="C246" s="4" t="s">
        <v>5</v>
      </c>
      <c r="D246" s="4" t="s">
        <v>6</v>
      </c>
      <c r="E246" s="4" t="s">
        <v>7</v>
      </c>
      <c r="F246" s="4" t="s">
        <v>8</v>
      </c>
    </row>
    <row r="247">
      <c r="A247" s="10" t="s">
        <v>5</v>
      </c>
      <c r="B247" s="14" t="s">
        <v>77</v>
      </c>
      <c r="C247" s="11">
        <f t="shared" ref="C247:F247" si="178">(5+30+20+30+12)*(1+C245)</f>
        <v>97</v>
      </c>
      <c r="D247" s="11">
        <f t="shared" si="178"/>
        <v>101.85</v>
      </c>
      <c r="E247" s="11">
        <f t="shared" si="178"/>
        <v>115.818</v>
      </c>
      <c r="F247" s="11">
        <f t="shared" si="178"/>
        <v>120.668</v>
      </c>
    </row>
    <row r="248">
      <c r="A248" s="15"/>
      <c r="B248" s="14" t="s">
        <v>78</v>
      </c>
      <c r="C248" s="4">
        <f t="shared" ref="C248:F248" si="179">(5+30+20+30+12)*(1+C245)</f>
        <v>97</v>
      </c>
      <c r="D248" s="4">
        <f t="shared" si="179"/>
        <v>101.85</v>
      </c>
      <c r="E248" s="4">
        <f t="shared" si="179"/>
        <v>115.818</v>
      </c>
      <c r="F248" s="4">
        <f t="shared" si="179"/>
        <v>120.668</v>
      </c>
    </row>
    <row r="249">
      <c r="A249" s="12"/>
      <c r="B249" s="14" t="s">
        <v>79</v>
      </c>
      <c r="C249" s="11">
        <f t="shared" ref="C249:F249" si="180">(5+30+30+30+12)*(1+C245)</f>
        <v>107</v>
      </c>
      <c r="D249" s="11">
        <f t="shared" si="180"/>
        <v>112.35</v>
      </c>
      <c r="E249" s="11">
        <f t="shared" si="180"/>
        <v>127.758</v>
      </c>
      <c r="F249" s="11">
        <f t="shared" si="180"/>
        <v>133.108</v>
      </c>
    </row>
    <row r="250">
      <c r="A250" s="10" t="s">
        <v>34</v>
      </c>
      <c r="B250" s="14" t="s">
        <v>77</v>
      </c>
      <c r="C250" s="11">
        <f t="shared" ref="C250:F250" si="181">(5+30+20+30+12)*(1+C245+10%)</f>
        <v>106.7</v>
      </c>
      <c r="D250" s="11">
        <f t="shared" si="181"/>
        <v>111.55</v>
      </c>
      <c r="E250" s="11">
        <f t="shared" si="181"/>
        <v>125.518</v>
      </c>
      <c r="F250" s="11">
        <f t="shared" si="181"/>
        <v>130.368</v>
      </c>
    </row>
    <row r="251">
      <c r="A251" s="15"/>
      <c r="B251" s="14" t="s">
        <v>78</v>
      </c>
      <c r="C251" s="4">
        <f t="shared" ref="C251:F251" si="182">(5+30+20+30+12)*(1+C245+10%)</f>
        <v>106.7</v>
      </c>
      <c r="D251" s="4">
        <f t="shared" si="182"/>
        <v>111.55</v>
      </c>
      <c r="E251" s="4">
        <f t="shared" si="182"/>
        <v>125.518</v>
      </c>
      <c r="F251" s="4">
        <f t="shared" si="182"/>
        <v>130.368</v>
      </c>
    </row>
    <row r="252">
      <c r="A252" s="12"/>
      <c r="B252" s="14" t="s">
        <v>79</v>
      </c>
      <c r="C252" s="11">
        <f t="shared" ref="C252:F252" si="183">(5+30+30+30+12)*(1+C245+10%)</f>
        <v>117.7</v>
      </c>
      <c r="D252" s="11">
        <f t="shared" si="183"/>
        <v>123.05</v>
      </c>
      <c r="E252" s="11">
        <f t="shared" si="183"/>
        <v>138.458</v>
      </c>
      <c r="F252" s="11">
        <f t="shared" si="183"/>
        <v>143.808</v>
      </c>
    </row>
    <row r="254">
      <c r="A254" s="1" t="s">
        <v>80</v>
      </c>
      <c r="B254" s="2"/>
      <c r="C254" s="2"/>
      <c r="D254" s="2"/>
      <c r="E254" s="2"/>
      <c r="F254" s="3"/>
    </row>
    <row r="255">
      <c r="A255" s="4" t="s">
        <v>1</v>
      </c>
      <c r="B255" s="5">
        <v>160.0</v>
      </c>
      <c r="C255" s="8" t="s">
        <v>81</v>
      </c>
      <c r="D255" s="2"/>
      <c r="E255" s="2"/>
      <c r="F255" s="3"/>
    </row>
    <row r="256">
      <c r="A256" s="8" t="s">
        <v>2</v>
      </c>
      <c r="B256" s="3"/>
      <c r="C256" s="9">
        <v>0.0</v>
      </c>
      <c r="D256" s="9">
        <v>0.05</v>
      </c>
      <c r="E256" s="9">
        <v>0.194</v>
      </c>
      <c r="F256" s="9">
        <v>0.244</v>
      </c>
    </row>
    <row r="257">
      <c r="A257" s="4" t="s">
        <v>3</v>
      </c>
      <c r="B257" s="4" t="s">
        <v>4</v>
      </c>
      <c r="C257" s="4" t="s">
        <v>5</v>
      </c>
      <c r="D257" s="4" t="s">
        <v>6</v>
      </c>
      <c r="E257" s="4" t="s">
        <v>7</v>
      </c>
      <c r="F257" s="4" t="s">
        <v>8</v>
      </c>
    </row>
    <row r="258">
      <c r="A258" s="10" t="s">
        <v>5</v>
      </c>
      <c r="B258" s="14" t="s">
        <v>14</v>
      </c>
      <c r="C258" s="24">
        <f t="shared" ref="C258:F258" si="184">(5+12+35+6+20+6+20+6)*(1+C256)</f>
        <v>110</v>
      </c>
      <c r="D258" s="24">
        <f t="shared" si="184"/>
        <v>115.5</v>
      </c>
      <c r="E258" s="24">
        <f t="shared" si="184"/>
        <v>131.34</v>
      </c>
      <c r="F258" s="24">
        <f t="shared" si="184"/>
        <v>136.84</v>
      </c>
    </row>
    <row r="259">
      <c r="A259" s="15"/>
      <c r="B259" s="14" t="s">
        <v>46</v>
      </c>
      <c r="C259" s="11">
        <f t="shared" ref="C259:F259" si="185">(5+12+20+6+20+6+35+6)*(1+C256)</f>
        <v>110</v>
      </c>
      <c r="D259" s="11">
        <f t="shared" si="185"/>
        <v>115.5</v>
      </c>
      <c r="E259" s="11">
        <f t="shared" si="185"/>
        <v>131.34</v>
      </c>
      <c r="F259" s="11">
        <f t="shared" si="185"/>
        <v>136.84</v>
      </c>
    </row>
    <row r="260">
      <c r="A260" s="15"/>
      <c r="B260" s="14" t="s">
        <v>82</v>
      </c>
      <c r="C260" s="11">
        <f t="shared" ref="C260:F260" si="186">(5+12+35+6+20+6+20+6+35+6)*(1+C256)</f>
        <v>151</v>
      </c>
      <c r="D260" s="11">
        <f t="shared" si="186"/>
        <v>158.55</v>
      </c>
      <c r="E260" s="11">
        <f t="shared" si="186"/>
        <v>180.294</v>
      </c>
      <c r="F260" s="11">
        <f t="shared" si="186"/>
        <v>187.844</v>
      </c>
    </row>
    <row r="261">
      <c r="A261" s="12"/>
      <c r="B261" s="14" t="s">
        <v>33</v>
      </c>
      <c r="C261" s="11">
        <f t="shared" ref="C261:F261" si="187">(5+12+20+6+20+6+35+6+20+6)*(1+C256)</f>
        <v>136</v>
      </c>
      <c r="D261" s="11">
        <f t="shared" si="187"/>
        <v>142.8</v>
      </c>
      <c r="E261" s="11">
        <f t="shared" si="187"/>
        <v>162.384</v>
      </c>
      <c r="F261" s="11">
        <f t="shared" si="187"/>
        <v>169.184</v>
      </c>
    </row>
    <row r="262">
      <c r="A262" s="10" t="s">
        <v>27</v>
      </c>
      <c r="B262" s="14" t="s">
        <v>14</v>
      </c>
      <c r="C262" s="24">
        <f t="shared" ref="C262:F262" si="188">(5+12+35+6+20+6+20+6)*(1+C256+10%)</f>
        <v>121</v>
      </c>
      <c r="D262" s="24">
        <f t="shared" si="188"/>
        <v>126.5</v>
      </c>
      <c r="E262" s="24">
        <f t="shared" si="188"/>
        <v>142.34</v>
      </c>
      <c r="F262" s="24">
        <f t="shared" si="188"/>
        <v>147.84</v>
      </c>
    </row>
    <row r="263">
      <c r="A263" s="15"/>
      <c r="B263" s="14" t="s">
        <v>46</v>
      </c>
      <c r="C263" s="11">
        <f t="shared" ref="C263:F263" si="189">(5+12+20+6+20+6+35+6)*(1+C256+10%)</f>
        <v>121</v>
      </c>
      <c r="D263" s="11">
        <f t="shared" si="189"/>
        <v>126.5</v>
      </c>
      <c r="E263" s="11">
        <f t="shared" si="189"/>
        <v>142.34</v>
      </c>
      <c r="F263" s="11">
        <f t="shared" si="189"/>
        <v>147.84</v>
      </c>
    </row>
    <row r="264">
      <c r="A264" s="15"/>
      <c r="B264" s="14" t="s">
        <v>82</v>
      </c>
      <c r="C264" s="11">
        <f t="shared" ref="C264:F264" si="190">(5+12+30+6+20+6+20+6+35+6)*(1+C256+10%)</f>
        <v>160.6</v>
      </c>
      <c r="D264" s="11">
        <f t="shared" si="190"/>
        <v>167.9</v>
      </c>
      <c r="E264" s="11">
        <f t="shared" si="190"/>
        <v>188.924</v>
      </c>
      <c r="F264" s="11">
        <f t="shared" si="190"/>
        <v>196.224</v>
      </c>
    </row>
    <row r="265">
      <c r="A265" s="12"/>
      <c r="B265" s="14" t="s">
        <v>33</v>
      </c>
      <c r="C265" s="11">
        <f t="shared" ref="C265:F265" si="191">(5+12+20+6+20+6+35+6+20+6)*(1+C256+10%)</f>
        <v>149.6</v>
      </c>
      <c r="D265" s="11">
        <f t="shared" si="191"/>
        <v>156.4</v>
      </c>
      <c r="E265" s="11">
        <f t="shared" si="191"/>
        <v>175.984</v>
      </c>
      <c r="F265" s="11">
        <f t="shared" si="191"/>
        <v>182.784</v>
      </c>
    </row>
    <row r="266">
      <c r="C266" s="8" t="s">
        <v>83</v>
      </c>
      <c r="D266" s="2"/>
      <c r="E266" s="2"/>
      <c r="F266" s="3"/>
    </row>
    <row r="267">
      <c r="A267" s="51" t="s">
        <v>2</v>
      </c>
      <c r="B267" s="3"/>
      <c r="C267" s="52">
        <v>0.0</v>
      </c>
      <c r="D267" s="52">
        <v>0.05</v>
      </c>
      <c r="E267" s="52">
        <v>0.194</v>
      </c>
      <c r="F267" s="52">
        <v>0.244</v>
      </c>
    </row>
    <row r="268">
      <c r="A268" s="53" t="s">
        <v>3</v>
      </c>
      <c r="B268" s="54" t="s">
        <v>4</v>
      </c>
      <c r="C268" s="54" t="s">
        <v>5</v>
      </c>
      <c r="D268" s="54" t="s">
        <v>6</v>
      </c>
      <c r="E268" s="54" t="s">
        <v>7</v>
      </c>
      <c r="F268" s="54" t="s">
        <v>8</v>
      </c>
    </row>
    <row r="269">
      <c r="A269" s="55" t="s">
        <v>5</v>
      </c>
      <c r="B269" s="54" t="s">
        <v>14</v>
      </c>
      <c r="C269" s="32">
        <f t="shared" ref="C269:F269" si="192">(5+12+35+6+20+6+20+6+32)*(1+C267)</f>
        <v>142</v>
      </c>
      <c r="D269" s="32">
        <f t="shared" si="192"/>
        <v>149.1</v>
      </c>
      <c r="E269" s="32">
        <f t="shared" si="192"/>
        <v>169.548</v>
      </c>
      <c r="F269" s="32">
        <f t="shared" si="192"/>
        <v>176.648</v>
      </c>
    </row>
    <row r="270">
      <c r="A270" s="15"/>
      <c r="B270" s="54" t="s">
        <v>46</v>
      </c>
      <c r="C270" s="32">
        <f t="shared" ref="C270:F270" si="193">(5+12+20+6+20+6+35+6+32)*(1+C267)</f>
        <v>142</v>
      </c>
      <c r="D270" s="32">
        <f t="shared" si="193"/>
        <v>149.1</v>
      </c>
      <c r="E270" s="32">
        <f t="shared" si="193"/>
        <v>169.548</v>
      </c>
      <c r="F270" s="32">
        <f t="shared" si="193"/>
        <v>176.648</v>
      </c>
    </row>
    <row r="271">
      <c r="A271" s="15"/>
      <c r="B271" s="54" t="s">
        <v>82</v>
      </c>
      <c r="C271" s="32">
        <f t="shared" ref="C271:F271" si="194">(5+12+35+6+20+6+20+6+35+6+32)*(1+C267)</f>
        <v>183</v>
      </c>
      <c r="D271" s="32">
        <f t="shared" si="194"/>
        <v>192.15</v>
      </c>
      <c r="E271" s="32">
        <f t="shared" si="194"/>
        <v>218.502</v>
      </c>
      <c r="F271" s="32">
        <f t="shared" si="194"/>
        <v>227.652</v>
      </c>
    </row>
    <row r="272">
      <c r="A272" s="12"/>
      <c r="B272" s="54" t="s">
        <v>33</v>
      </c>
      <c r="C272" s="32">
        <f t="shared" ref="C272:F272" si="195">(5+12+20+6+20+6+35+6+20+6+32)*(1+C267)</f>
        <v>168</v>
      </c>
      <c r="D272" s="32">
        <f t="shared" si="195"/>
        <v>176.4</v>
      </c>
      <c r="E272" s="32">
        <f t="shared" si="195"/>
        <v>200.592</v>
      </c>
      <c r="F272" s="32">
        <f t="shared" si="195"/>
        <v>208.992</v>
      </c>
    </row>
    <row r="273">
      <c r="A273" s="55" t="s">
        <v>27</v>
      </c>
      <c r="B273" s="54" t="s">
        <v>14</v>
      </c>
      <c r="C273" s="32">
        <f t="shared" ref="C273:F273" si="196">(5+12+30+6+20+6+20+6+32)*(1+C267+10%)</f>
        <v>150.7</v>
      </c>
      <c r="D273" s="32">
        <f t="shared" si="196"/>
        <v>157.55</v>
      </c>
      <c r="E273" s="32">
        <f t="shared" si="196"/>
        <v>177.278</v>
      </c>
      <c r="F273" s="32">
        <f t="shared" si="196"/>
        <v>184.128</v>
      </c>
    </row>
    <row r="274">
      <c r="A274" s="15"/>
      <c r="B274" s="54" t="s">
        <v>46</v>
      </c>
      <c r="C274" s="32">
        <f t="shared" ref="C274:F274" si="197">(5+12+20+6+20+6+30+6+32)*(1+C267+10%)</f>
        <v>150.7</v>
      </c>
      <c r="D274" s="32">
        <f t="shared" si="197"/>
        <v>157.55</v>
      </c>
      <c r="E274" s="32">
        <f t="shared" si="197"/>
        <v>177.278</v>
      </c>
      <c r="F274" s="32">
        <f t="shared" si="197"/>
        <v>184.128</v>
      </c>
    </row>
    <row r="275">
      <c r="A275" s="15"/>
      <c r="B275" s="54" t="s">
        <v>82</v>
      </c>
      <c r="C275" s="32">
        <f t="shared" ref="C275:F275" si="198">(5+12+30+6+20+6+20+6+30+6+32)*(1+C267+10%)</f>
        <v>190.3</v>
      </c>
      <c r="D275" s="32">
        <f t="shared" si="198"/>
        <v>198.95</v>
      </c>
      <c r="E275" s="32">
        <f t="shared" si="198"/>
        <v>223.862</v>
      </c>
      <c r="F275" s="32">
        <f t="shared" si="198"/>
        <v>232.512</v>
      </c>
    </row>
    <row r="276">
      <c r="A276" s="12"/>
      <c r="B276" s="54" t="s">
        <v>33</v>
      </c>
      <c r="C276" s="32">
        <f t="shared" ref="C276:F276" si="199">(5+12+20+6+20+6+30+6+20+6+32)*(1+C267+10%)</f>
        <v>179.3</v>
      </c>
      <c r="D276" s="32">
        <f t="shared" si="199"/>
        <v>187.45</v>
      </c>
      <c r="E276" s="32">
        <f t="shared" si="199"/>
        <v>210.922</v>
      </c>
      <c r="F276" s="32">
        <f t="shared" si="199"/>
        <v>219.072</v>
      </c>
    </row>
    <row r="278">
      <c r="A278" s="1" t="s">
        <v>84</v>
      </c>
      <c r="B278" s="2"/>
      <c r="C278" s="2"/>
      <c r="D278" s="2"/>
      <c r="E278" s="2"/>
      <c r="F278" s="2"/>
      <c r="G278" s="2"/>
      <c r="H278" s="2"/>
      <c r="I278" s="2"/>
      <c r="J278" s="3"/>
    </row>
    <row r="279">
      <c r="A279" s="4" t="s">
        <v>1</v>
      </c>
      <c r="B279" s="5">
        <v>110.0</v>
      </c>
      <c r="C279" s="6"/>
      <c r="D279" s="2"/>
      <c r="E279" s="2"/>
      <c r="F279" s="3"/>
      <c r="G279" s="8" t="s">
        <v>85</v>
      </c>
      <c r="H279" s="2"/>
      <c r="I279" s="2"/>
      <c r="J279" s="3"/>
    </row>
    <row r="280">
      <c r="A280" s="8" t="s">
        <v>2</v>
      </c>
      <c r="B280" s="3"/>
      <c r="C280" s="9">
        <v>0.0</v>
      </c>
      <c r="D280" s="9">
        <v>0.05</v>
      </c>
      <c r="E280" s="9">
        <v>0.194</v>
      </c>
      <c r="F280" s="9">
        <v>0.244</v>
      </c>
      <c r="G280" s="9">
        <v>0.0</v>
      </c>
      <c r="H280" s="9">
        <v>0.05</v>
      </c>
      <c r="I280" s="9">
        <v>0.194</v>
      </c>
      <c r="J280" s="9">
        <v>0.244</v>
      </c>
    </row>
    <row r="281">
      <c r="A281" s="14" t="s">
        <v>3</v>
      </c>
      <c r="B281" s="14" t="s">
        <v>4</v>
      </c>
      <c r="C281" s="14" t="s">
        <v>5</v>
      </c>
      <c r="D281" s="14" t="s">
        <v>6</v>
      </c>
      <c r="E281" s="14" t="s">
        <v>7</v>
      </c>
      <c r="F281" s="14" t="s">
        <v>8</v>
      </c>
      <c r="G281" s="14" t="s">
        <v>5</v>
      </c>
      <c r="H281" s="14" t="s">
        <v>6</v>
      </c>
      <c r="I281" s="14" t="s">
        <v>7</v>
      </c>
      <c r="J281" s="14" t="s">
        <v>8</v>
      </c>
    </row>
    <row r="282">
      <c r="A282" s="47" t="s">
        <v>5</v>
      </c>
      <c r="B282" s="14" t="s">
        <v>44</v>
      </c>
      <c r="C282" s="46">
        <f t="shared" ref="C282:F282" si="200">(5+20+20)*(1+C280)</f>
        <v>45</v>
      </c>
      <c r="D282" s="46">
        <f t="shared" si="200"/>
        <v>47.25</v>
      </c>
      <c r="E282" s="46">
        <f t="shared" si="200"/>
        <v>53.73</v>
      </c>
      <c r="F282" s="46">
        <f t="shared" si="200"/>
        <v>55.98</v>
      </c>
      <c r="G282" s="46">
        <f t="shared" ref="G282:J282" si="201">(5+20+20+4)*(1+G280)</f>
        <v>49</v>
      </c>
      <c r="H282" s="46">
        <f t="shared" si="201"/>
        <v>51.45</v>
      </c>
      <c r="I282" s="46">
        <f t="shared" si="201"/>
        <v>58.506</v>
      </c>
      <c r="J282" s="46">
        <f t="shared" si="201"/>
        <v>60.956</v>
      </c>
    </row>
    <row r="283">
      <c r="A283" s="15"/>
      <c r="B283" s="14" t="s">
        <v>45</v>
      </c>
      <c r="C283" s="14">
        <f t="shared" ref="C283:F283" si="202">(5+20+20+20)*(1+C280)</f>
        <v>65</v>
      </c>
      <c r="D283" s="14">
        <f t="shared" si="202"/>
        <v>68.25</v>
      </c>
      <c r="E283" s="14">
        <f t="shared" si="202"/>
        <v>77.61</v>
      </c>
      <c r="F283" s="14">
        <f t="shared" si="202"/>
        <v>80.86</v>
      </c>
      <c r="G283" s="14">
        <f t="shared" ref="G283:J283" si="203">(5+20+20+20+4)*(1+G280)</f>
        <v>69</v>
      </c>
      <c r="H283" s="14">
        <f t="shared" si="203"/>
        <v>72.45</v>
      </c>
      <c r="I283" s="14">
        <f t="shared" si="203"/>
        <v>82.386</v>
      </c>
      <c r="J283" s="14">
        <f t="shared" si="203"/>
        <v>85.836</v>
      </c>
    </row>
    <row r="284">
      <c r="A284" s="15"/>
      <c r="B284" s="14" t="s">
        <v>46</v>
      </c>
      <c r="C284" s="46">
        <f t="shared" ref="C284:F284" si="204">(5+30+20+20)*(1+C280)</f>
        <v>75</v>
      </c>
      <c r="D284" s="46">
        <f t="shared" si="204"/>
        <v>78.75</v>
      </c>
      <c r="E284" s="46">
        <f t="shared" si="204"/>
        <v>89.55</v>
      </c>
      <c r="F284" s="46">
        <f t="shared" si="204"/>
        <v>93.3</v>
      </c>
      <c r="G284" s="46">
        <f t="shared" ref="G284:J284" si="205">(5+30+20+20+4)*(1+G280)</f>
        <v>79</v>
      </c>
      <c r="H284" s="46">
        <f t="shared" si="205"/>
        <v>82.95</v>
      </c>
      <c r="I284" s="46">
        <f t="shared" si="205"/>
        <v>94.326</v>
      </c>
      <c r="J284" s="46">
        <f t="shared" si="205"/>
        <v>98.276</v>
      </c>
    </row>
    <row r="285">
      <c r="A285" s="15"/>
      <c r="B285" s="48" t="s">
        <v>86</v>
      </c>
      <c r="C285" s="27">
        <f t="shared" ref="C285:F285" si="206">(5+20+30+30)*(1+C280)</f>
        <v>85</v>
      </c>
      <c r="D285" s="27">
        <f t="shared" si="206"/>
        <v>89.25</v>
      </c>
      <c r="E285" s="27">
        <f t="shared" si="206"/>
        <v>101.49</v>
      </c>
      <c r="F285" s="27">
        <f t="shared" si="206"/>
        <v>105.74</v>
      </c>
      <c r="G285" s="27">
        <f t="shared" ref="G285:J285" si="207">(5+20+30+30+4)*(1+G280)</f>
        <v>89</v>
      </c>
      <c r="H285" s="27">
        <f t="shared" si="207"/>
        <v>93.45</v>
      </c>
      <c r="I285" s="27">
        <f t="shared" si="207"/>
        <v>106.266</v>
      </c>
      <c r="J285" s="27">
        <f t="shared" si="207"/>
        <v>110.716</v>
      </c>
    </row>
    <row r="286">
      <c r="A286" s="15"/>
      <c r="B286" s="14" t="s">
        <v>25</v>
      </c>
      <c r="C286" s="46">
        <f t="shared" ref="C286:F286" si="208">(5+30+30+30)*(1+C280)</f>
        <v>95</v>
      </c>
      <c r="D286" s="46">
        <f t="shared" si="208"/>
        <v>99.75</v>
      </c>
      <c r="E286" s="46">
        <f t="shared" si="208"/>
        <v>113.43</v>
      </c>
      <c r="F286" s="46">
        <f t="shared" si="208"/>
        <v>118.18</v>
      </c>
      <c r="G286" s="46">
        <f>(5+30+30+30+4)*(1+G280)</f>
        <v>99</v>
      </c>
      <c r="H286" s="46">
        <f t="shared" ref="H286:J286" si="209">(5+30+30+30)*(1+H280)</f>
        <v>99.75</v>
      </c>
      <c r="I286" s="46">
        <f t="shared" si="209"/>
        <v>113.43</v>
      </c>
      <c r="J286" s="46">
        <f t="shared" si="209"/>
        <v>118.18</v>
      </c>
    </row>
    <row r="287">
      <c r="A287" s="15"/>
      <c r="B287" s="14" t="s">
        <v>87</v>
      </c>
      <c r="C287" s="56">
        <f t="shared" ref="C287:F287" si="210">(5+20+20+20+30)*(1+C280)</f>
        <v>95</v>
      </c>
      <c r="D287" s="56">
        <f t="shared" si="210"/>
        <v>99.75</v>
      </c>
      <c r="E287" s="56">
        <f t="shared" si="210"/>
        <v>113.43</v>
      </c>
      <c r="F287" s="56">
        <f t="shared" si="210"/>
        <v>118.18</v>
      </c>
      <c r="G287" s="56">
        <f t="shared" ref="G287:J287" si="211">(5+20+20+20+30+4)*(1+G280)</f>
        <v>99</v>
      </c>
      <c r="H287" s="56">
        <f t="shared" si="211"/>
        <v>103.95</v>
      </c>
      <c r="I287" s="56">
        <f t="shared" si="211"/>
        <v>118.206</v>
      </c>
      <c r="J287" s="56">
        <f t="shared" si="211"/>
        <v>123.156</v>
      </c>
    </row>
    <row r="288">
      <c r="A288" s="12"/>
      <c r="B288" s="14" t="s">
        <v>88</v>
      </c>
      <c r="C288" s="56">
        <f t="shared" ref="C288:F288" si="212">(5+20+20+30+30)*(1+C280)</f>
        <v>105</v>
      </c>
      <c r="D288" s="56">
        <f t="shared" si="212"/>
        <v>110.25</v>
      </c>
      <c r="E288" s="56">
        <f t="shared" si="212"/>
        <v>125.37</v>
      </c>
      <c r="F288" s="56">
        <f t="shared" si="212"/>
        <v>130.62</v>
      </c>
      <c r="G288" s="56">
        <f t="shared" ref="G288:J288" si="213">(5+20+20+30+30+4)*(1+G280)</f>
        <v>109</v>
      </c>
      <c r="H288" s="56">
        <f t="shared" si="213"/>
        <v>114.45</v>
      </c>
      <c r="I288" s="56">
        <f t="shared" si="213"/>
        <v>130.146</v>
      </c>
      <c r="J288" s="56">
        <f t="shared" si="213"/>
        <v>135.596</v>
      </c>
    </row>
    <row r="289">
      <c r="A289" s="47" t="s">
        <v>47</v>
      </c>
      <c r="B289" s="14" t="s">
        <v>44</v>
      </c>
      <c r="C289" s="24">
        <f t="shared" ref="C289:F289" si="214">(5+20+20)*(1+C280+12%)</f>
        <v>50.4</v>
      </c>
      <c r="D289" s="24">
        <f t="shared" si="214"/>
        <v>52.65</v>
      </c>
      <c r="E289" s="24">
        <f t="shared" si="214"/>
        <v>59.13</v>
      </c>
      <c r="F289" s="24">
        <f t="shared" si="214"/>
        <v>61.38</v>
      </c>
      <c r="G289" s="24">
        <f t="shared" ref="G289:J289" si="215">(5+20+20+4)*(1+G280+12%)</f>
        <v>54.88</v>
      </c>
      <c r="H289" s="24">
        <f t="shared" si="215"/>
        <v>57.33</v>
      </c>
      <c r="I289" s="24">
        <f t="shared" si="215"/>
        <v>64.386</v>
      </c>
      <c r="J289" s="24">
        <f t="shared" si="215"/>
        <v>66.836</v>
      </c>
    </row>
    <row r="290">
      <c r="A290" s="15"/>
      <c r="B290" s="14" t="s">
        <v>45</v>
      </c>
      <c r="C290" s="24">
        <f t="shared" ref="C290:F290" si="216">(5+20+20+20)*(1+C280+12%)</f>
        <v>72.8</v>
      </c>
      <c r="D290" s="24">
        <f t="shared" si="216"/>
        <v>76.05</v>
      </c>
      <c r="E290" s="24">
        <f t="shared" si="216"/>
        <v>85.41</v>
      </c>
      <c r="F290" s="24">
        <f t="shared" si="216"/>
        <v>88.66</v>
      </c>
      <c r="G290" s="24">
        <f t="shared" ref="G290:J290" si="217">(5+20+20+20+4)*(1+G280+12%)</f>
        <v>77.28</v>
      </c>
      <c r="H290" s="24">
        <f t="shared" si="217"/>
        <v>80.73</v>
      </c>
      <c r="I290" s="24">
        <f t="shared" si="217"/>
        <v>90.666</v>
      </c>
      <c r="J290" s="24">
        <f t="shared" si="217"/>
        <v>94.116</v>
      </c>
    </row>
    <row r="291">
      <c r="A291" s="15"/>
      <c r="B291" s="14" t="s">
        <v>46</v>
      </c>
      <c r="C291" s="46">
        <f t="shared" ref="C291:F291" si="218">(5+30+20+20)*(1+C280+12%)</f>
        <v>84</v>
      </c>
      <c r="D291" s="46">
        <f t="shared" si="218"/>
        <v>87.75</v>
      </c>
      <c r="E291" s="46">
        <f t="shared" si="218"/>
        <v>98.55</v>
      </c>
      <c r="F291" s="46">
        <f t="shared" si="218"/>
        <v>102.3</v>
      </c>
      <c r="G291" s="46">
        <f t="shared" ref="G291:J291" si="219">(5+30+20+20+4)*(1+G280+12%)</f>
        <v>88.48</v>
      </c>
      <c r="H291" s="46">
        <f t="shared" si="219"/>
        <v>92.43</v>
      </c>
      <c r="I291" s="46">
        <f t="shared" si="219"/>
        <v>103.806</v>
      </c>
      <c r="J291" s="46">
        <f t="shared" si="219"/>
        <v>107.756</v>
      </c>
    </row>
    <row r="292">
      <c r="A292" s="15"/>
      <c r="B292" s="48" t="s">
        <v>86</v>
      </c>
      <c r="C292" s="27">
        <f t="shared" ref="C292:F292" si="220">(5+20+30+30)*(1+C280+12%)</f>
        <v>95.2</v>
      </c>
      <c r="D292" s="27">
        <f t="shared" si="220"/>
        <v>99.45</v>
      </c>
      <c r="E292" s="27">
        <f t="shared" si="220"/>
        <v>111.69</v>
      </c>
      <c r="F292" s="27">
        <f t="shared" si="220"/>
        <v>115.94</v>
      </c>
      <c r="G292" s="27">
        <f t="shared" ref="G292:J292" si="221">(5+20+30+30+4)*(1+G280+12%)</f>
        <v>99.68</v>
      </c>
      <c r="H292" s="27">
        <f t="shared" si="221"/>
        <v>104.13</v>
      </c>
      <c r="I292" s="27">
        <f t="shared" si="221"/>
        <v>116.946</v>
      </c>
      <c r="J292" s="27">
        <f t="shared" si="221"/>
        <v>121.396</v>
      </c>
    </row>
    <row r="293">
      <c r="A293" s="15"/>
      <c r="B293" s="14" t="s">
        <v>25</v>
      </c>
      <c r="C293" s="56">
        <f t="shared" ref="C293:J293" si="222">(5+30+30+30)*(1+C280+12%)</f>
        <v>106.4</v>
      </c>
      <c r="D293" s="56">
        <f t="shared" si="222"/>
        <v>111.15</v>
      </c>
      <c r="E293" s="56">
        <f t="shared" si="222"/>
        <v>124.83</v>
      </c>
      <c r="F293" s="56">
        <f t="shared" si="222"/>
        <v>129.58</v>
      </c>
      <c r="G293" s="56">
        <f t="shared" si="222"/>
        <v>106.4</v>
      </c>
      <c r="H293" s="56">
        <f t="shared" si="222"/>
        <v>111.15</v>
      </c>
      <c r="I293" s="56">
        <f t="shared" si="222"/>
        <v>124.83</v>
      </c>
      <c r="J293" s="56">
        <f t="shared" si="222"/>
        <v>129.58</v>
      </c>
    </row>
    <row r="294">
      <c r="A294" s="15"/>
      <c r="B294" s="14" t="s">
        <v>87</v>
      </c>
      <c r="C294" s="56">
        <f t="shared" ref="C294:F294" si="223">(5+20+20+20+30)*(1+C280+12%)</f>
        <v>106.4</v>
      </c>
      <c r="D294" s="56">
        <f t="shared" si="223"/>
        <v>111.15</v>
      </c>
      <c r="E294" s="56">
        <f t="shared" si="223"/>
        <v>124.83</v>
      </c>
      <c r="F294" s="56">
        <f t="shared" si="223"/>
        <v>129.58</v>
      </c>
      <c r="G294" s="56">
        <f t="shared" ref="G294:J294" si="224">(5+20+20+20+30+4)*(1+G280+12%)</f>
        <v>110.88</v>
      </c>
      <c r="H294" s="56">
        <f t="shared" si="224"/>
        <v>115.83</v>
      </c>
      <c r="I294" s="56">
        <f t="shared" si="224"/>
        <v>130.086</v>
      </c>
      <c r="J294" s="56">
        <f t="shared" si="224"/>
        <v>135.036</v>
      </c>
    </row>
    <row r="295">
      <c r="A295" s="12"/>
      <c r="B295" s="14" t="s">
        <v>88</v>
      </c>
      <c r="C295" s="56">
        <f t="shared" ref="C295:F295" si="225">(5+20+20+30+30)*(1+C280+12%)</f>
        <v>117.6</v>
      </c>
      <c r="D295" s="56">
        <f t="shared" si="225"/>
        <v>122.85</v>
      </c>
      <c r="E295" s="56">
        <f t="shared" si="225"/>
        <v>137.97</v>
      </c>
      <c r="F295" s="56">
        <f t="shared" si="225"/>
        <v>143.22</v>
      </c>
      <c r="G295" s="56">
        <f t="shared" ref="G295:J295" si="226">(5+20+20+30+30+4)*(1+G280+12%)</f>
        <v>122.08</v>
      </c>
      <c r="H295" s="56">
        <f t="shared" si="226"/>
        <v>127.53</v>
      </c>
      <c r="I295" s="56">
        <f t="shared" si="226"/>
        <v>143.226</v>
      </c>
      <c r="J295" s="56">
        <f t="shared" si="226"/>
        <v>148.676</v>
      </c>
    </row>
    <row r="296">
      <c r="A296" s="47" t="s">
        <v>41</v>
      </c>
      <c r="B296" s="14" t="s">
        <v>44</v>
      </c>
      <c r="C296" s="24">
        <f t="shared" ref="C296:F296" si="227">(5+20+20)*(1+C280+14%)</f>
        <v>51.3</v>
      </c>
      <c r="D296" s="24">
        <f t="shared" si="227"/>
        <v>53.55</v>
      </c>
      <c r="E296" s="24">
        <f t="shared" si="227"/>
        <v>60.03</v>
      </c>
      <c r="F296" s="24">
        <f t="shared" si="227"/>
        <v>62.28</v>
      </c>
      <c r="G296" s="24">
        <f t="shared" ref="G296:J296" si="228">(5+20+20+4)*(1+G280+14%)</f>
        <v>55.86</v>
      </c>
      <c r="H296" s="24">
        <f t="shared" si="228"/>
        <v>58.31</v>
      </c>
      <c r="I296" s="24">
        <f t="shared" si="228"/>
        <v>65.366</v>
      </c>
      <c r="J296" s="24">
        <f t="shared" si="228"/>
        <v>67.816</v>
      </c>
    </row>
    <row r="297">
      <c r="A297" s="15"/>
      <c r="B297" s="14" t="s">
        <v>45</v>
      </c>
      <c r="C297" s="24">
        <f t="shared" ref="C297:F297" si="229">(5+20+20+20)*(1+C280+14%)</f>
        <v>74.1</v>
      </c>
      <c r="D297" s="24">
        <f t="shared" si="229"/>
        <v>77.35</v>
      </c>
      <c r="E297" s="24">
        <f t="shared" si="229"/>
        <v>86.71</v>
      </c>
      <c r="F297" s="24">
        <f t="shared" si="229"/>
        <v>89.96</v>
      </c>
      <c r="G297" s="24">
        <f t="shared" ref="G297:J297" si="230">(5+20+20+20+4)*(1+G280+14%)</f>
        <v>78.66</v>
      </c>
      <c r="H297" s="24">
        <f t="shared" si="230"/>
        <v>82.11</v>
      </c>
      <c r="I297" s="24">
        <f t="shared" si="230"/>
        <v>92.046</v>
      </c>
      <c r="J297" s="24">
        <f t="shared" si="230"/>
        <v>95.496</v>
      </c>
    </row>
    <row r="298">
      <c r="A298" s="15"/>
      <c r="B298" s="14" t="s">
        <v>46</v>
      </c>
      <c r="C298" s="46">
        <f t="shared" ref="C298:F298" si="231">(5+30+20+20)*(1+C280+14%)</f>
        <v>85.5</v>
      </c>
      <c r="D298" s="46">
        <f t="shared" si="231"/>
        <v>89.25</v>
      </c>
      <c r="E298" s="46">
        <f t="shared" si="231"/>
        <v>100.05</v>
      </c>
      <c r="F298" s="46">
        <f t="shared" si="231"/>
        <v>103.8</v>
      </c>
      <c r="G298" s="46">
        <f t="shared" ref="G298:J298" si="232">(5+30+20+20+4)*(1+G280+14%)</f>
        <v>90.06</v>
      </c>
      <c r="H298" s="46">
        <f t="shared" si="232"/>
        <v>94.01</v>
      </c>
      <c r="I298" s="46">
        <f t="shared" si="232"/>
        <v>105.386</v>
      </c>
      <c r="J298" s="46">
        <f t="shared" si="232"/>
        <v>109.336</v>
      </c>
    </row>
    <row r="299">
      <c r="A299" s="15"/>
      <c r="B299" s="48" t="s">
        <v>86</v>
      </c>
      <c r="C299" s="27">
        <f t="shared" ref="C299:F299" si="233">(5+20+30+30)*(1+C280+14%)</f>
        <v>96.9</v>
      </c>
      <c r="D299" s="27">
        <f t="shared" si="233"/>
        <v>101.15</v>
      </c>
      <c r="E299" s="27">
        <f t="shared" si="233"/>
        <v>113.39</v>
      </c>
      <c r="F299" s="27">
        <f t="shared" si="233"/>
        <v>117.64</v>
      </c>
      <c r="G299" s="27">
        <f t="shared" ref="G299:J299" si="234">(5+20+30+30+4)*(1+G280+14%)</f>
        <v>101.46</v>
      </c>
      <c r="H299" s="27">
        <f t="shared" si="234"/>
        <v>105.91</v>
      </c>
      <c r="I299" s="27">
        <f t="shared" si="234"/>
        <v>118.726</v>
      </c>
      <c r="J299" s="27">
        <f t="shared" si="234"/>
        <v>123.176</v>
      </c>
    </row>
    <row r="300">
      <c r="A300" s="15"/>
      <c r="B300" s="14" t="s">
        <v>25</v>
      </c>
      <c r="C300" s="56">
        <f t="shared" ref="C300:F300" si="235">(5+30+30+30)*(1+C280+14%)</f>
        <v>108.3</v>
      </c>
      <c r="D300" s="56">
        <f t="shared" si="235"/>
        <v>113.05</v>
      </c>
      <c r="E300" s="56">
        <f t="shared" si="235"/>
        <v>126.73</v>
      </c>
      <c r="F300" s="56">
        <f t="shared" si="235"/>
        <v>131.48</v>
      </c>
      <c r="G300" s="56">
        <f>(5+30+30+30+4)*(1+G280+14%)</f>
        <v>112.86</v>
      </c>
      <c r="H300" s="56">
        <f t="shared" ref="H300:J300" si="236">(5+30+30+30)*(1+H280+14%)</f>
        <v>113.05</v>
      </c>
      <c r="I300" s="56">
        <f t="shared" si="236"/>
        <v>126.73</v>
      </c>
      <c r="J300" s="56">
        <f t="shared" si="236"/>
        <v>131.48</v>
      </c>
    </row>
    <row r="301">
      <c r="A301" s="15"/>
      <c r="B301" s="14" t="s">
        <v>87</v>
      </c>
      <c r="C301" s="56">
        <f t="shared" ref="C301:F301" si="237">(5+20+20+20+30)*(1+C280+14%)</f>
        <v>108.3</v>
      </c>
      <c r="D301" s="56">
        <f t="shared" si="237"/>
        <v>113.05</v>
      </c>
      <c r="E301" s="56">
        <f t="shared" si="237"/>
        <v>126.73</v>
      </c>
      <c r="F301" s="56">
        <f t="shared" si="237"/>
        <v>131.48</v>
      </c>
      <c r="G301" s="56">
        <f t="shared" ref="G301:J301" si="238">(5+20+20+20+30+4)*(1+G280+14%)</f>
        <v>112.86</v>
      </c>
      <c r="H301" s="56">
        <f t="shared" si="238"/>
        <v>117.81</v>
      </c>
      <c r="I301" s="56">
        <f t="shared" si="238"/>
        <v>132.066</v>
      </c>
      <c r="J301" s="56">
        <f t="shared" si="238"/>
        <v>137.016</v>
      </c>
    </row>
    <row r="302">
      <c r="A302" s="12"/>
      <c r="B302" s="14" t="s">
        <v>88</v>
      </c>
      <c r="C302" s="56">
        <f t="shared" ref="C302:F302" si="239">(5+20+20+30+30)*(1+C280+14%)</f>
        <v>119.7</v>
      </c>
      <c r="D302" s="56">
        <f t="shared" si="239"/>
        <v>124.95</v>
      </c>
      <c r="E302" s="56">
        <f t="shared" si="239"/>
        <v>140.07</v>
      </c>
      <c r="F302" s="56">
        <f t="shared" si="239"/>
        <v>145.32</v>
      </c>
      <c r="G302" s="56">
        <f t="shared" ref="G302:J302" si="240">(5+20+20+30+30+4)*(1+G280+14%)</f>
        <v>124.26</v>
      </c>
      <c r="H302" s="56">
        <f t="shared" si="240"/>
        <v>129.71</v>
      </c>
      <c r="I302" s="56">
        <f t="shared" si="240"/>
        <v>145.406</v>
      </c>
      <c r="J302" s="56">
        <f t="shared" si="240"/>
        <v>150.856</v>
      </c>
    </row>
    <row r="303">
      <c r="A303" s="47" t="s">
        <v>42</v>
      </c>
      <c r="B303" s="14" t="s">
        <v>44</v>
      </c>
      <c r="C303" s="24">
        <f t="shared" ref="C303:F303" si="241">(5+20+20)*(1+C280+16%)</f>
        <v>52.2</v>
      </c>
      <c r="D303" s="24">
        <f t="shared" si="241"/>
        <v>54.45</v>
      </c>
      <c r="E303" s="24">
        <f t="shared" si="241"/>
        <v>60.93</v>
      </c>
      <c r="F303" s="24">
        <f t="shared" si="241"/>
        <v>63.18</v>
      </c>
      <c r="G303" s="24">
        <f t="shared" ref="G303:J303" si="242">(5+20+20+4)*(1+G280+16%)</f>
        <v>56.84</v>
      </c>
      <c r="H303" s="24">
        <f t="shared" si="242"/>
        <v>59.29</v>
      </c>
      <c r="I303" s="24">
        <f t="shared" si="242"/>
        <v>66.346</v>
      </c>
      <c r="J303" s="24">
        <f t="shared" si="242"/>
        <v>68.796</v>
      </c>
    </row>
    <row r="304">
      <c r="A304" s="15"/>
      <c r="B304" s="14" t="s">
        <v>45</v>
      </c>
      <c r="C304" s="24">
        <f t="shared" ref="C304:F304" si="243">(5+20+20+20)*(1+C280+16%)</f>
        <v>75.4</v>
      </c>
      <c r="D304" s="24">
        <f t="shared" si="243"/>
        <v>78.65</v>
      </c>
      <c r="E304" s="24">
        <f t="shared" si="243"/>
        <v>88.01</v>
      </c>
      <c r="F304" s="24">
        <f t="shared" si="243"/>
        <v>91.26</v>
      </c>
      <c r="G304" s="24">
        <f t="shared" ref="G304:J304" si="244">(5+20+20+20+4)*(1+G280+16%)</f>
        <v>80.04</v>
      </c>
      <c r="H304" s="24">
        <f t="shared" si="244"/>
        <v>83.49</v>
      </c>
      <c r="I304" s="24">
        <f t="shared" si="244"/>
        <v>93.426</v>
      </c>
      <c r="J304" s="24">
        <f t="shared" si="244"/>
        <v>96.876</v>
      </c>
    </row>
    <row r="305">
      <c r="A305" s="15"/>
      <c r="B305" s="14" t="s">
        <v>46</v>
      </c>
      <c r="C305" s="46">
        <f t="shared" ref="C305:F305" si="245">(5+30+20+20)*(1+C280+16%)</f>
        <v>87</v>
      </c>
      <c r="D305" s="46">
        <f t="shared" si="245"/>
        <v>90.75</v>
      </c>
      <c r="E305" s="46">
        <f t="shared" si="245"/>
        <v>101.55</v>
      </c>
      <c r="F305" s="46">
        <f t="shared" si="245"/>
        <v>105.3</v>
      </c>
      <c r="G305" s="46">
        <f t="shared" ref="G305:J305" si="246">(5+30+20+20+4)*(1+G280+16%)</f>
        <v>91.64</v>
      </c>
      <c r="H305" s="46">
        <f t="shared" si="246"/>
        <v>95.59</v>
      </c>
      <c r="I305" s="46">
        <f t="shared" si="246"/>
        <v>106.966</v>
      </c>
      <c r="J305" s="46">
        <f t="shared" si="246"/>
        <v>110.916</v>
      </c>
    </row>
    <row r="306">
      <c r="A306" s="15"/>
      <c r="B306" s="48" t="s">
        <v>86</v>
      </c>
      <c r="C306" s="27">
        <f t="shared" ref="C306:F306" si="247">(5+20+30+30)*(1+C280+16%)</f>
        <v>98.6</v>
      </c>
      <c r="D306" s="27">
        <f t="shared" si="247"/>
        <v>102.85</v>
      </c>
      <c r="E306" s="27">
        <f t="shared" si="247"/>
        <v>115.09</v>
      </c>
      <c r="F306" s="27">
        <f t="shared" si="247"/>
        <v>119.34</v>
      </c>
      <c r="G306" s="27">
        <f t="shared" ref="G306:J306" si="248">(5+20+30+30+4)*(1+G280+16%)</f>
        <v>103.24</v>
      </c>
      <c r="H306" s="27">
        <f t="shared" si="248"/>
        <v>107.69</v>
      </c>
      <c r="I306" s="27">
        <f t="shared" si="248"/>
        <v>120.506</v>
      </c>
      <c r="J306" s="27">
        <f t="shared" si="248"/>
        <v>124.956</v>
      </c>
    </row>
    <row r="307">
      <c r="A307" s="15"/>
      <c r="B307" s="14" t="s">
        <v>25</v>
      </c>
      <c r="C307" s="56">
        <f t="shared" ref="C307:F307" si="249">(5+30+30+30)*(1+C280+16%)</f>
        <v>110.2</v>
      </c>
      <c r="D307" s="56">
        <f t="shared" si="249"/>
        <v>114.95</v>
      </c>
      <c r="E307" s="56">
        <f t="shared" si="249"/>
        <v>128.63</v>
      </c>
      <c r="F307" s="56">
        <f t="shared" si="249"/>
        <v>133.38</v>
      </c>
      <c r="G307" s="56">
        <f>(5+30+30+30+4)*(1+G280+16%)</f>
        <v>114.84</v>
      </c>
      <c r="H307" s="56">
        <f t="shared" ref="H307:J307" si="250">(5+30+30+30)*(1+H280+16%)</f>
        <v>114.95</v>
      </c>
      <c r="I307" s="56">
        <f t="shared" si="250"/>
        <v>128.63</v>
      </c>
      <c r="J307" s="56">
        <f t="shared" si="250"/>
        <v>133.38</v>
      </c>
    </row>
    <row r="308">
      <c r="A308" s="15"/>
      <c r="B308" s="14" t="s">
        <v>87</v>
      </c>
      <c r="C308" s="56">
        <f t="shared" ref="C308:F308" si="251">(5+20+20+20+30)*(1+C280+16%)</f>
        <v>110.2</v>
      </c>
      <c r="D308" s="56">
        <f t="shared" si="251"/>
        <v>114.95</v>
      </c>
      <c r="E308" s="56">
        <f t="shared" si="251"/>
        <v>128.63</v>
      </c>
      <c r="F308" s="56">
        <f t="shared" si="251"/>
        <v>133.38</v>
      </c>
      <c r="G308" s="56">
        <f t="shared" ref="G308:J308" si="252">(5+20+20+20+30+4)*(1+G280+16%)</f>
        <v>114.84</v>
      </c>
      <c r="H308" s="56">
        <f t="shared" si="252"/>
        <v>119.79</v>
      </c>
      <c r="I308" s="56">
        <f t="shared" si="252"/>
        <v>134.046</v>
      </c>
      <c r="J308" s="56">
        <f t="shared" si="252"/>
        <v>138.996</v>
      </c>
    </row>
    <row r="309">
      <c r="A309" s="12"/>
      <c r="B309" s="14" t="s">
        <v>88</v>
      </c>
      <c r="C309" s="56">
        <f t="shared" ref="C309:F309" si="253">(5+20+20+30+30)*(1+C280+16%)</f>
        <v>121.8</v>
      </c>
      <c r="D309" s="56">
        <f t="shared" si="253"/>
        <v>127.05</v>
      </c>
      <c r="E309" s="56">
        <f t="shared" si="253"/>
        <v>142.17</v>
      </c>
      <c r="F309" s="56">
        <f t="shared" si="253"/>
        <v>147.42</v>
      </c>
      <c r="G309" s="56">
        <f t="shared" ref="G309:J309" si="254">(5+20+20+30+30+4)*(1+G280+16%)</f>
        <v>126.44</v>
      </c>
      <c r="H309" s="56">
        <f t="shared" si="254"/>
        <v>131.89</v>
      </c>
      <c r="I309" s="56">
        <f t="shared" si="254"/>
        <v>147.586</v>
      </c>
      <c r="J309" s="56">
        <f t="shared" si="254"/>
        <v>153.036</v>
      </c>
    </row>
    <row r="310">
      <c r="A310" s="47" t="s">
        <v>89</v>
      </c>
      <c r="B310" s="14" t="s">
        <v>44</v>
      </c>
      <c r="C310" s="24">
        <f t="shared" ref="C310:F310" si="255">(5+9+20+3+20+3)*(1+C280)</f>
        <v>60</v>
      </c>
      <c r="D310" s="24">
        <f t="shared" si="255"/>
        <v>63</v>
      </c>
      <c r="E310" s="24">
        <f t="shared" si="255"/>
        <v>71.64</v>
      </c>
      <c r="F310" s="24">
        <f t="shared" si="255"/>
        <v>74.64</v>
      </c>
      <c r="G310" s="24">
        <f t="shared" ref="G310:J310" si="256">(5+9+20+3+20+3+4)*(1+G280)</f>
        <v>64</v>
      </c>
      <c r="H310" s="24">
        <f t="shared" si="256"/>
        <v>67.2</v>
      </c>
      <c r="I310" s="24">
        <f t="shared" si="256"/>
        <v>76.416</v>
      </c>
      <c r="J310" s="24">
        <f t="shared" si="256"/>
        <v>79.616</v>
      </c>
    </row>
    <row r="311">
      <c r="A311" s="15"/>
      <c r="B311" s="14" t="s">
        <v>45</v>
      </c>
      <c r="C311" s="24">
        <f t="shared" ref="C311:F311" si="257">(5+9+20+3+20+3+20+3)*(1+C280)</f>
        <v>83</v>
      </c>
      <c r="D311" s="24">
        <f t="shared" si="257"/>
        <v>87.15</v>
      </c>
      <c r="E311" s="24">
        <f t="shared" si="257"/>
        <v>99.102</v>
      </c>
      <c r="F311" s="24">
        <f t="shared" si="257"/>
        <v>103.252</v>
      </c>
      <c r="G311" s="24">
        <f t="shared" ref="G311:J311" si="258">(5+9+20+3+20+3+20+3+4)*(1+G280)</f>
        <v>87</v>
      </c>
      <c r="H311" s="24">
        <f t="shared" si="258"/>
        <v>91.35</v>
      </c>
      <c r="I311" s="24">
        <f t="shared" si="258"/>
        <v>103.878</v>
      </c>
      <c r="J311" s="24">
        <f t="shared" si="258"/>
        <v>108.228</v>
      </c>
    </row>
    <row r="312">
      <c r="A312" s="15"/>
      <c r="B312" s="14" t="s">
        <v>46</v>
      </c>
      <c r="C312" s="24">
        <f t="shared" ref="C312:F312" si="259">(5+9+20+3+20+3+30)*(1+C280)</f>
        <v>90</v>
      </c>
      <c r="D312" s="24">
        <f t="shared" si="259"/>
        <v>94.5</v>
      </c>
      <c r="E312" s="24">
        <f t="shared" si="259"/>
        <v>107.46</v>
      </c>
      <c r="F312" s="24">
        <f t="shared" si="259"/>
        <v>111.96</v>
      </c>
      <c r="G312" s="24">
        <f t="shared" ref="G312:J312" si="260">(5+9+20+3+20+3+30+4)*(1+G280)</f>
        <v>94</v>
      </c>
      <c r="H312" s="24">
        <f t="shared" si="260"/>
        <v>98.7</v>
      </c>
      <c r="I312" s="24">
        <f t="shared" si="260"/>
        <v>112.236</v>
      </c>
      <c r="J312" s="24">
        <f t="shared" si="260"/>
        <v>116.936</v>
      </c>
    </row>
    <row r="313">
      <c r="A313" s="15"/>
      <c r="B313" s="14" t="s">
        <v>86</v>
      </c>
      <c r="C313" s="46">
        <f>(5+9+20+3+30+30)*(1+C280)</f>
        <v>97</v>
      </c>
      <c r="D313" s="46">
        <f t="shared" ref="D313:F313" si="261">(5+9+20++3+30+30)*(1+D280)</f>
        <v>101.85</v>
      </c>
      <c r="E313" s="46">
        <f t="shared" si="261"/>
        <v>115.818</v>
      </c>
      <c r="F313" s="46">
        <f t="shared" si="261"/>
        <v>120.668</v>
      </c>
      <c r="G313" s="46">
        <f t="shared" ref="G313:J313" si="262">(5+9+20++3+30+30+4)*(1+G280)</f>
        <v>101</v>
      </c>
      <c r="H313" s="46">
        <f t="shared" si="262"/>
        <v>106.05</v>
      </c>
      <c r="I313" s="46">
        <f t="shared" si="262"/>
        <v>120.594</v>
      </c>
      <c r="J313" s="46">
        <f t="shared" si="262"/>
        <v>125.644</v>
      </c>
    </row>
    <row r="314">
      <c r="A314" s="15"/>
      <c r="B314" s="14" t="s">
        <v>87</v>
      </c>
      <c r="C314" s="46">
        <f t="shared" ref="C314:F314" si="263">(5+9+20+3+20+3+20+3+30)*(1+C280)</f>
        <v>113</v>
      </c>
      <c r="D314" s="46">
        <f t="shared" si="263"/>
        <v>118.65</v>
      </c>
      <c r="E314" s="46">
        <f t="shared" si="263"/>
        <v>134.922</v>
      </c>
      <c r="F314" s="46">
        <f t="shared" si="263"/>
        <v>140.572</v>
      </c>
      <c r="G314" s="46">
        <f t="shared" ref="G314:J314" si="264">(5+9+20+3+20+3+20+3+30+4)*(1+G280)</f>
        <v>117</v>
      </c>
      <c r="H314" s="46">
        <f t="shared" si="264"/>
        <v>122.85</v>
      </c>
      <c r="I314" s="46">
        <f t="shared" si="264"/>
        <v>139.698</v>
      </c>
      <c r="J314" s="46">
        <f t="shared" si="264"/>
        <v>145.548</v>
      </c>
    </row>
    <row r="315">
      <c r="A315" s="12"/>
      <c r="B315" s="14" t="s">
        <v>88</v>
      </c>
      <c r="C315" s="46">
        <f t="shared" ref="C315:F315" si="265">(5+9+20+3+20+3+30+30)*(1+C280)</f>
        <v>120</v>
      </c>
      <c r="D315" s="46">
        <f t="shared" si="265"/>
        <v>126</v>
      </c>
      <c r="E315" s="46">
        <f t="shared" si="265"/>
        <v>143.28</v>
      </c>
      <c r="F315" s="46">
        <f t="shared" si="265"/>
        <v>149.28</v>
      </c>
      <c r="G315" s="46">
        <f t="shared" ref="G315:J315" si="266">(5+9+20+3+20+3+30+30+4)*(1+G280)</f>
        <v>124</v>
      </c>
      <c r="H315" s="46">
        <f t="shared" si="266"/>
        <v>130.2</v>
      </c>
      <c r="I315" s="46">
        <f t="shared" si="266"/>
        <v>148.056</v>
      </c>
      <c r="J315" s="46">
        <f t="shared" si="266"/>
        <v>154.256</v>
      </c>
    </row>
    <row r="317">
      <c r="A317" s="1" t="s">
        <v>90</v>
      </c>
      <c r="B317" s="2"/>
      <c r="C317" s="2"/>
      <c r="D317" s="2"/>
      <c r="E317" s="2"/>
      <c r="F317" s="3"/>
    </row>
    <row r="318">
      <c r="A318" s="4" t="s">
        <v>1</v>
      </c>
      <c r="B318" s="5">
        <v>140.0</v>
      </c>
      <c r="C318" s="8" t="s">
        <v>91</v>
      </c>
      <c r="D318" s="2"/>
      <c r="E318" s="2"/>
      <c r="F318" s="3"/>
    </row>
    <row r="319">
      <c r="A319" s="8" t="s">
        <v>2</v>
      </c>
      <c r="B319" s="3"/>
      <c r="C319" s="9">
        <v>0.0</v>
      </c>
      <c r="D319" s="9">
        <v>0.05</v>
      </c>
      <c r="E319" s="9">
        <v>0.194</v>
      </c>
      <c r="F319" s="9">
        <v>0.244</v>
      </c>
    </row>
    <row r="320">
      <c r="A320" s="4" t="s">
        <v>3</v>
      </c>
      <c r="B320" s="4" t="s">
        <v>4</v>
      </c>
      <c r="C320" s="4" t="s">
        <v>5</v>
      </c>
      <c r="D320" s="4" t="s">
        <v>6</v>
      </c>
      <c r="E320" s="4" t="s">
        <v>7</v>
      </c>
      <c r="F320" s="4" t="s">
        <v>8</v>
      </c>
    </row>
    <row r="321">
      <c r="A321" s="10" t="s">
        <v>5</v>
      </c>
      <c r="B321" s="4" t="s">
        <v>29</v>
      </c>
      <c r="C321" s="11">
        <f t="shared" ref="C321:F321" si="267">(5+30+30+20)*(1+C319)</f>
        <v>85</v>
      </c>
      <c r="D321" s="11">
        <f t="shared" si="267"/>
        <v>89.25</v>
      </c>
      <c r="E321" s="11">
        <f t="shared" si="267"/>
        <v>101.49</v>
      </c>
      <c r="F321" s="11">
        <f t="shared" si="267"/>
        <v>105.74</v>
      </c>
    </row>
    <row r="322">
      <c r="A322" s="15"/>
      <c r="B322" s="4" t="s">
        <v>17</v>
      </c>
      <c r="C322" s="4">
        <f t="shared" ref="C322:F322" si="268">(5+30+20+20)*(1+C319)</f>
        <v>75</v>
      </c>
      <c r="D322" s="4">
        <f t="shared" si="268"/>
        <v>78.75</v>
      </c>
      <c r="E322" s="4">
        <f t="shared" si="268"/>
        <v>89.55</v>
      </c>
      <c r="F322" s="4">
        <f t="shared" si="268"/>
        <v>93.3</v>
      </c>
    </row>
    <row r="323">
      <c r="A323" s="15"/>
      <c r="B323" s="4" t="s">
        <v>71</v>
      </c>
      <c r="C323" s="4">
        <f t="shared" ref="C323:F323" si="269">(5+30+30+20+20)*(1+C319)</f>
        <v>105</v>
      </c>
      <c r="D323" s="4">
        <f t="shared" si="269"/>
        <v>110.25</v>
      </c>
      <c r="E323" s="4">
        <f t="shared" si="269"/>
        <v>125.37</v>
      </c>
      <c r="F323" s="4">
        <f t="shared" si="269"/>
        <v>130.62</v>
      </c>
    </row>
    <row r="324">
      <c r="A324" s="12"/>
      <c r="B324" s="4" t="s">
        <v>25</v>
      </c>
      <c r="C324" s="13">
        <f t="shared" ref="C324:F324" si="270">(5+30+30+30+20)*(1+C319)</f>
        <v>115</v>
      </c>
      <c r="D324" s="13">
        <f t="shared" si="270"/>
        <v>120.75</v>
      </c>
      <c r="E324" s="13">
        <f t="shared" si="270"/>
        <v>137.31</v>
      </c>
      <c r="F324" s="13">
        <f t="shared" si="270"/>
        <v>143.06</v>
      </c>
    </row>
    <row r="325">
      <c r="A325" s="10" t="s">
        <v>11</v>
      </c>
      <c r="B325" s="4" t="s">
        <v>29</v>
      </c>
      <c r="C325" s="11">
        <f t="shared" ref="C325:F325" si="271">(5+30+7+30+7+20)*(1+C319)</f>
        <v>99</v>
      </c>
      <c r="D325" s="11">
        <f t="shared" si="271"/>
        <v>103.95</v>
      </c>
      <c r="E325" s="11">
        <f t="shared" si="271"/>
        <v>118.206</v>
      </c>
      <c r="F325" s="11">
        <f t="shared" si="271"/>
        <v>123.156</v>
      </c>
    </row>
    <row r="326">
      <c r="A326" s="15"/>
      <c r="B326" s="4" t="s">
        <v>17</v>
      </c>
      <c r="C326" s="4">
        <f t="shared" ref="C326:F326" si="272">(5+30+7+20+7+20)*(1+C319)</f>
        <v>89</v>
      </c>
      <c r="D326" s="4">
        <f t="shared" si="272"/>
        <v>93.45</v>
      </c>
      <c r="E326" s="4">
        <f t="shared" si="272"/>
        <v>106.266</v>
      </c>
      <c r="F326" s="4">
        <f t="shared" si="272"/>
        <v>110.716</v>
      </c>
    </row>
    <row r="327">
      <c r="A327" s="15"/>
      <c r="B327" s="4" t="s">
        <v>71</v>
      </c>
      <c r="C327" s="4">
        <f t="shared" ref="C327:F327" si="273">(5+30+7+30+7+20+7+20)*(1+C319)</f>
        <v>126</v>
      </c>
      <c r="D327" s="4">
        <f t="shared" si="273"/>
        <v>132.3</v>
      </c>
      <c r="E327" s="4">
        <f t="shared" si="273"/>
        <v>150.444</v>
      </c>
      <c r="F327" s="4">
        <f t="shared" si="273"/>
        <v>156.744</v>
      </c>
    </row>
    <row r="328">
      <c r="A328" s="12"/>
      <c r="B328" s="4" t="s">
        <v>25</v>
      </c>
      <c r="C328" s="13">
        <f t="shared" ref="C328:F328" si="274">(5+30+7+30+7+30+7+20)*(1+C319)</f>
        <v>136</v>
      </c>
      <c r="D328" s="13">
        <f t="shared" si="274"/>
        <v>142.8</v>
      </c>
      <c r="E328" s="13">
        <f t="shared" si="274"/>
        <v>162.384</v>
      </c>
      <c r="F328" s="13">
        <f t="shared" si="274"/>
        <v>169.184</v>
      </c>
    </row>
    <row r="329">
      <c r="A329" s="10" t="s">
        <v>12</v>
      </c>
      <c r="B329" s="4" t="s">
        <v>29</v>
      </c>
      <c r="C329" s="11">
        <f t="shared" ref="C329:F329" si="275">(5+30+8+30+8+20)*(1+C319)</f>
        <v>101</v>
      </c>
      <c r="D329" s="11">
        <f t="shared" si="275"/>
        <v>106.05</v>
      </c>
      <c r="E329" s="11">
        <f t="shared" si="275"/>
        <v>120.594</v>
      </c>
      <c r="F329" s="11">
        <f t="shared" si="275"/>
        <v>125.644</v>
      </c>
    </row>
    <row r="330">
      <c r="A330" s="15"/>
      <c r="B330" s="4" t="s">
        <v>17</v>
      </c>
      <c r="C330" s="4">
        <f t="shared" ref="C330:F330" si="276">(5+30+8+20+8+20)*(1+C319)</f>
        <v>91</v>
      </c>
      <c r="D330" s="4">
        <f t="shared" si="276"/>
        <v>95.55</v>
      </c>
      <c r="E330" s="4">
        <f t="shared" si="276"/>
        <v>108.654</v>
      </c>
      <c r="F330" s="4">
        <f t="shared" si="276"/>
        <v>113.204</v>
      </c>
    </row>
    <row r="331">
      <c r="A331" s="15"/>
      <c r="B331" s="4" t="s">
        <v>71</v>
      </c>
      <c r="C331" s="4">
        <f t="shared" ref="C331:F331" si="277">(5+30+8+30+8+20+8+20)*(1+C319)</f>
        <v>129</v>
      </c>
      <c r="D331" s="4">
        <f t="shared" si="277"/>
        <v>135.45</v>
      </c>
      <c r="E331" s="4">
        <f t="shared" si="277"/>
        <v>154.026</v>
      </c>
      <c r="F331" s="4">
        <f t="shared" si="277"/>
        <v>160.476</v>
      </c>
    </row>
    <row r="332">
      <c r="A332" s="12"/>
      <c r="B332" s="4" t="s">
        <v>25</v>
      </c>
      <c r="C332" s="13">
        <f t="shared" ref="C332:F332" si="278">(5+30+8+30+8+30+8+20)*(1+C319)</f>
        <v>139</v>
      </c>
      <c r="D332" s="13">
        <f t="shared" si="278"/>
        <v>145.95</v>
      </c>
      <c r="E332" s="13">
        <f t="shared" si="278"/>
        <v>165.966</v>
      </c>
      <c r="F332" s="13">
        <f t="shared" si="278"/>
        <v>172.916</v>
      </c>
    </row>
    <row r="333">
      <c r="A333" s="57"/>
      <c r="B333" s="3"/>
      <c r="C333" s="8" t="s">
        <v>92</v>
      </c>
      <c r="D333" s="2"/>
      <c r="E333" s="2"/>
      <c r="F333" s="3"/>
    </row>
    <row r="334">
      <c r="A334" s="8" t="s">
        <v>2</v>
      </c>
      <c r="B334" s="3"/>
      <c r="C334" s="9">
        <v>0.0</v>
      </c>
      <c r="D334" s="9">
        <v>0.05</v>
      </c>
      <c r="E334" s="9">
        <v>0.194</v>
      </c>
      <c r="F334" s="9">
        <v>0.244</v>
      </c>
    </row>
    <row r="335">
      <c r="A335" s="4" t="s">
        <v>3</v>
      </c>
      <c r="B335" s="4" t="s">
        <v>4</v>
      </c>
      <c r="C335" s="4" t="s">
        <v>5</v>
      </c>
      <c r="D335" s="4" t="s">
        <v>6</v>
      </c>
      <c r="E335" s="4" t="s">
        <v>7</v>
      </c>
      <c r="F335" s="4" t="s">
        <v>8</v>
      </c>
    </row>
    <row r="336">
      <c r="A336" s="10" t="s">
        <v>5</v>
      </c>
      <c r="B336" s="4" t="s">
        <v>29</v>
      </c>
      <c r="C336" s="11">
        <f t="shared" ref="C336:F336" si="279">(5+42+42+20)*(1+C334)</f>
        <v>109</v>
      </c>
      <c r="D336" s="11">
        <f t="shared" si="279"/>
        <v>114.45</v>
      </c>
      <c r="E336" s="11">
        <f t="shared" si="279"/>
        <v>130.146</v>
      </c>
      <c r="F336" s="11">
        <f t="shared" si="279"/>
        <v>135.596</v>
      </c>
    </row>
    <row r="337">
      <c r="A337" s="15"/>
      <c r="B337" s="4" t="s">
        <v>17</v>
      </c>
      <c r="C337" s="4">
        <f t="shared" ref="C337:F337" si="280">(5+42+20+20)*(1+C334)</f>
        <v>87</v>
      </c>
      <c r="D337" s="4">
        <f t="shared" si="280"/>
        <v>91.35</v>
      </c>
      <c r="E337" s="4">
        <f t="shared" si="280"/>
        <v>103.878</v>
      </c>
      <c r="F337" s="4">
        <f t="shared" si="280"/>
        <v>108.228</v>
      </c>
    </row>
    <row r="338">
      <c r="A338" s="15"/>
      <c r="B338" s="4" t="s">
        <v>71</v>
      </c>
      <c r="C338" s="4">
        <f t="shared" ref="C338:F338" si="281">(5+42+42+20+20)*(1+C334)</f>
        <v>129</v>
      </c>
      <c r="D338" s="4">
        <f t="shared" si="281"/>
        <v>135.45</v>
      </c>
      <c r="E338" s="4">
        <f t="shared" si="281"/>
        <v>154.026</v>
      </c>
      <c r="F338" s="4">
        <f t="shared" si="281"/>
        <v>160.476</v>
      </c>
    </row>
    <row r="339">
      <c r="A339" s="12"/>
      <c r="B339" s="4" t="s">
        <v>25</v>
      </c>
      <c r="C339" s="13">
        <f t="shared" ref="C339:F339" si="282">(5+42+42+42+20)*(1+C334)</f>
        <v>151</v>
      </c>
      <c r="D339" s="13">
        <f t="shared" si="282"/>
        <v>158.55</v>
      </c>
      <c r="E339" s="13">
        <f t="shared" si="282"/>
        <v>180.294</v>
      </c>
      <c r="F339" s="13">
        <f t="shared" si="282"/>
        <v>187.844</v>
      </c>
    </row>
    <row r="340">
      <c r="A340" s="10" t="s">
        <v>11</v>
      </c>
      <c r="B340" s="4" t="s">
        <v>29</v>
      </c>
      <c r="C340" s="11">
        <f t="shared" ref="C340:F340" si="283">(5+42+7+42+7+20)*(1+C334)</f>
        <v>123</v>
      </c>
      <c r="D340" s="11">
        <f t="shared" si="283"/>
        <v>129.15</v>
      </c>
      <c r="E340" s="11">
        <f t="shared" si="283"/>
        <v>146.862</v>
      </c>
      <c r="F340" s="11">
        <f t="shared" si="283"/>
        <v>153.012</v>
      </c>
    </row>
    <row r="341">
      <c r="A341" s="15"/>
      <c r="B341" s="4" t="s">
        <v>17</v>
      </c>
      <c r="C341" s="4">
        <f t="shared" ref="C341:F341" si="284">(5+42+7+20+7+20)*(1+C334)</f>
        <v>101</v>
      </c>
      <c r="D341" s="4">
        <f t="shared" si="284"/>
        <v>106.05</v>
      </c>
      <c r="E341" s="4">
        <f t="shared" si="284"/>
        <v>120.594</v>
      </c>
      <c r="F341" s="4">
        <f t="shared" si="284"/>
        <v>125.644</v>
      </c>
    </row>
    <row r="342">
      <c r="A342" s="15"/>
      <c r="B342" s="4" t="s">
        <v>71</v>
      </c>
      <c r="C342" s="4">
        <f t="shared" ref="C342:F342" si="285">(5+42+7+42+7+20+7+20)*(1+C334)</f>
        <v>150</v>
      </c>
      <c r="D342" s="4">
        <f t="shared" si="285"/>
        <v>157.5</v>
      </c>
      <c r="E342" s="4">
        <f t="shared" si="285"/>
        <v>179.1</v>
      </c>
      <c r="F342" s="4">
        <f t="shared" si="285"/>
        <v>186.6</v>
      </c>
    </row>
    <row r="343">
      <c r="A343" s="12"/>
      <c r="B343" s="4" t="s">
        <v>25</v>
      </c>
      <c r="C343" s="13">
        <f t="shared" ref="C343:F343" si="286">(5+42+7+42+7+42+7+20)*(1+C334)</f>
        <v>172</v>
      </c>
      <c r="D343" s="13">
        <f t="shared" si="286"/>
        <v>180.6</v>
      </c>
      <c r="E343" s="13">
        <f t="shared" si="286"/>
        <v>205.368</v>
      </c>
      <c r="F343" s="13">
        <f t="shared" si="286"/>
        <v>213.968</v>
      </c>
    </row>
    <row r="344">
      <c r="A344" s="10" t="s">
        <v>12</v>
      </c>
      <c r="B344" s="4" t="s">
        <v>29</v>
      </c>
      <c r="C344" s="11">
        <f t="shared" ref="C344:F344" si="287">(5+42+8+42+8+20)*(1+C334)</f>
        <v>125</v>
      </c>
      <c r="D344" s="11">
        <f t="shared" si="287"/>
        <v>131.25</v>
      </c>
      <c r="E344" s="11">
        <f t="shared" si="287"/>
        <v>149.25</v>
      </c>
      <c r="F344" s="11">
        <f t="shared" si="287"/>
        <v>155.5</v>
      </c>
    </row>
    <row r="345">
      <c r="A345" s="15"/>
      <c r="B345" s="4" t="s">
        <v>17</v>
      </c>
      <c r="C345" s="4">
        <f t="shared" ref="C345:F345" si="288">(5+42+8+20+8+20)*(1+C334)</f>
        <v>103</v>
      </c>
      <c r="D345" s="4">
        <f t="shared" si="288"/>
        <v>108.15</v>
      </c>
      <c r="E345" s="4">
        <f t="shared" si="288"/>
        <v>122.982</v>
      </c>
      <c r="F345" s="4">
        <f t="shared" si="288"/>
        <v>128.132</v>
      </c>
    </row>
    <row r="346">
      <c r="A346" s="15"/>
      <c r="B346" s="4" t="s">
        <v>71</v>
      </c>
      <c r="C346" s="4">
        <f t="shared" ref="C346:F346" si="289">(5+42+8+42+8+20+8+20)*(1+C334)</f>
        <v>153</v>
      </c>
      <c r="D346" s="4">
        <f t="shared" si="289"/>
        <v>160.65</v>
      </c>
      <c r="E346" s="4">
        <f t="shared" si="289"/>
        <v>182.682</v>
      </c>
      <c r="F346" s="4">
        <f t="shared" si="289"/>
        <v>190.332</v>
      </c>
    </row>
    <row r="347">
      <c r="A347" s="12"/>
      <c r="B347" s="4" t="s">
        <v>25</v>
      </c>
      <c r="C347" s="13">
        <f t="shared" ref="C347:F347" si="290">(5+42+8+42+8+42+8+20)*(1+C334)</f>
        <v>175</v>
      </c>
      <c r="D347" s="13">
        <f t="shared" si="290"/>
        <v>183.75</v>
      </c>
      <c r="E347" s="13">
        <f t="shared" si="290"/>
        <v>208.95</v>
      </c>
      <c r="F347" s="13">
        <f t="shared" si="290"/>
        <v>217.7</v>
      </c>
    </row>
    <row r="349">
      <c r="A349" s="1" t="s">
        <v>93</v>
      </c>
      <c r="B349" s="2"/>
      <c r="C349" s="2"/>
      <c r="D349" s="2"/>
      <c r="E349" s="2"/>
      <c r="F349" s="3"/>
    </row>
    <row r="350">
      <c r="A350" s="4" t="s">
        <v>1</v>
      </c>
      <c r="B350" s="5">
        <v>100.0</v>
      </c>
      <c r="C350" s="6"/>
      <c r="D350" s="2"/>
      <c r="E350" s="2"/>
      <c r="F350" s="3"/>
    </row>
    <row r="351">
      <c r="A351" s="8" t="s">
        <v>2</v>
      </c>
      <c r="B351" s="3"/>
      <c r="C351" s="9">
        <v>0.0</v>
      </c>
      <c r="D351" s="9">
        <v>0.05</v>
      </c>
      <c r="E351" s="9">
        <v>0.194</v>
      </c>
      <c r="F351" s="9">
        <v>0.244</v>
      </c>
    </row>
    <row r="352">
      <c r="A352" s="4" t="s">
        <v>3</v>
      </c>
      <c r="B352" s="4" t="s">
        <v>4</v>
      </c>
      <c r="C352" s="4" t="s">
        <v>5</v>
      </c>
      <c r="D352" s="4" t="s">
        <v>6</v>
      </c>
      <c r="E352" s="4" t="s">
        <v>7</v>
      </c>
      <c r="F352" s="4" t="s">
        <v>8</v>
      </c>
    </row>
    <row r="353">
      <c r="A353" s="10" t="s">
        <v>5</v>
      </c>
      <c r="B353" s="14" t="s">
        <v>32</v>
      </c>
      <c r="C353" s="11">
        <f t="shared" ref="C353:F353" si="291">(5+20+20+30)*(1+C351)</f>
        <v>75</v>
      </c>
      <c r="D353" s="11">
        <f t="shared" si="291"/>
        <v>78.75</v>
      </c>
      <c r="E353" s="11">
        <f t="shared" si="291"/>
        <v>89.55</v>
      </c>
      <c r="F353" s="11">
        <f t="shared" si="291"/>
        <v>93.3</v>
      </c>
    </row>
    <row r="354">
      <c r="A354" s="15"/>
      <c r="B354" s="14" t="s">
        <v>64</v>
      </c>
      <c r="C354" s="4">
        <f t="shared" ref="C354:F354" si="292">(20+20+20+30)*(1+C351)</f>
        <v>90</v>
      </c>
      <c r="D354" s="4">
        <f t="shared" si="292"/>
        <v>94.5</v>
      </c>
      <c r="E354" s="4">
        <f t="shared" si="292"/>
        <v>107.46</v>
      </c>
      <c r="F354" s="4">
        <f t="shared" si="292"/>
        <v>111.96</v>
      </c>
    </row>
    <row r="355">
      <c r="A355" s="15"/>
      <c r="B355" s="14" t="s">
        <v>29</v>
      </c>
      <c r="C355" s="11">
        <f t="shared" ref="C355:F355" si="293">(5+30+30)*(1+C351)</f>
        <v>65</v>
      </c>
      <c r="D355" s="11">
        <f t="shared" si="293"/>
        <v>68.25</v>
      </c>
      <c r="E355" s="11">
        <f t="shared" si="293"/>
        <v>77.61</v>
      </c>
      <c r="F355" s="11">
        <f t="shared" si="293"/>
        <v>80.86</v>
      </c>
    </row>
    <row r="356">
      <c r="A356" s="12"/>
      <c r="B356" s="14" t="s">
        <v>86</v>
      </c>
      <c r="C356" s="11">
        <f t="shared" ref="C356:F356" si="294">(5+20+30+30)*(1+C351)</f>
        <v>85</v>
      </c>
      <c r="D356" s="11">
        <f t="shared" si="294"/>
        <v>89.25</v>
      </c>
      <c r="E356" s="11">
        <f t="shared" si="294"/>
        <v>101.49</v>
      </c>
      <c r="F356" s="11">
        <f t="shared" si="294"/>
        <v>105.74</v>
      </c>
    </row>
    <row r="357">
      <c r="A357" s="10" t="s">
        <v>34</v>
      </c>
      <c r="B357" s="14" t="s">
        <v>32</v>
      </c>
      <c r="C357" s="11">
        <f t="shared" ref="C357:F357" si="295">(5+20+20+30)*(1+C351+10%)</f>
        <v>82.5</v>
      </c>
      <c r="D357" s="11">
        <f t="shared" si="295"/>
        <v>86.25</v>
      </c>
      <c r="E357" s="11">
        <f t="shared" si="295"/>
        <v>97.05</v>
      </c>
      <c r="F357" s="11">
        <f t="shared" si="295"/>
        <v>100.8</v>
      </c>
    </row>
    <row r="358">
      <c r="A358" s="15"/>
      <c r="B358" s="14" t="s">
        <v>64</v>
      </c>
      <c r="C358" s="4">
        <f t="shared" ref="C358:F358" si="296">(20+20+20+30)*(1+C351+10%)</f>
        <v>99</v>
      </c>
      <c r="D358" s="4">
        <f t="shared" si="296"/>
        <v>103.5</v>
      </c>
      <c r="E358" s="4">
        <f t="shared" si="296"/>
        <v>116.46</v>
      </c>
      <c r="F358" s="4">
        <f t="shared" si="296"/>
        <v>120.96</v>
      </c>
    </row>
    <row r="359">
      <c r="A359" s="12"/>
      <c r="B359" s="14" t="s">
        <v>29</v>
      </c>
      <c r="C359" s="11">
        <f t="shared" ref="C359:F359" si="297">(5+20+30+30)*(1+C351+10%)</f>
        <v>93.5</v>
      </c>
      <c r="D359" s="11">
        <f t="shared" si="297"/>
        <v>97.75</v>
      </c>
      <c r="E359" s="11">
        <f t="shared" si="297"/>
        <v>109.99</v>
      </c>
      <c r="F359" s="11">
        <f t="shared" si="297"/>
        <v>114.24</v>
      </c>
    </row>
  </sheetData>
  <mergeCells count="154">
    <mergeCell ref="A1:F1"/>
    <mergeCell ref="C2:F2"/>
    <mergeCell ref="A3:B3"/>
    <mergeCell ref="A5:A6"/>
    <mergeCell ref="A7:A8"/>
    <mergeCell ref="A9:A10"/>
    <mergeCell ref="A12:F12"/>
    <mergeCell ref="C13:F13"/>
    <mergeCell ref="A14:B14"/>
    <mergeCell ref="A16:A17"/>
    <mergeCell ref="A18:A20"/>
    <mergeCell ref="A21:A23"/>
    <mergeCell ref="G21:G23"/>
    <mergeCell ref="A25:F25"/>
    <mergeCell ref="C26:F26"/>
    <mergeCell ref="A27:B27"/>
    <mergeCell ref="A29:A31"/>
    <mergeCell ref="A32:A34"/>
    <mergeCell ref="A35:A37"/>
    <mergeCell ref="A39:F39"/>
    <mergeCell ref="C40:F40"/>
    <mergeCell ref="A41:B41"/>
    <mergeCell ref="A43:A44"/>
    <mergeCell ref="A45:A46"/>
    <mergeCell ref="A47:A49"/>
    <mergeCell ref="A50:A52"/>
    <mergeCell ref="A54:F54"/>
    <mergeCell ref="C55:F55"/>
    <mergeCell ref="A56:B56"/>
    <mergeCell ref="A58:A59"/>
    <mergeCell ref="A60:A61"/>
    <mergeCell ref="A63:J63"/>
    <mergeCell ref="C64:F64"/>
    <mergeCell ref="G64:J64"/>
    <mergeCell ref="A65:B65"/>
    <mergeCell ref="A67:A69"/>
    <mergeCell ref="A70:A72"/>
    <mergeCell ref="A73:A75"/>
    <mergeCell ref="A76:A78"/>
    <mergeCell ref="A79:A81"/>
    <mergeCell ref="A83:F83"/>
    <mergeCell ref="C84:F84"/>
    <mergeCell ref="A85:B85"/>
    <mergeCell ref="A87:A89"/>
    <mergeCell ref="A90:A92"/>
    <mergeCell ref="A93:A95"/>
    <mergeCell ref="A96:A98"/>
    <mergeCell ref="A100:F100"/>
    <mergeCell ref="C101:F101"/>
    <mergeCell ref="A151:A152"/>
    <mergeCell ref="A154:A155"/>
    <mergeCell ref="A156:A158"/>
    <mergeCell ref="A159:A161"/>
    <mergeCell ref="A167:A169"/>
    <mergeCell ref="A170:A172"/>
    <mergeCell ref="A173:A175"/>
    <mergeCell ref="A176:A178"/>
    <mergeCell ref="A184:A186"/>
    <mergeCell ref="A187:A189"/>
    <mergeCell ref="A195:A198"/>
    <mergeCell ref="A199:A202"/>
    <mergeCell ref="A203:A206"/>
    <mergeCell ref="A207:A210"/>
    <mergeCell ref="A225:A228"/>
    <mergeCell ref="A229:A232"/>
    <mergeCell ref="A238:A239"/>
    <mergeCell ref="A240:A241"/>
    <mergeCell ref="A247:A249"/>
    <mergeCell ref="A250:A252"/>
    <mergeCell ref="A258:A261"/>
    <mergeCell ref="A262:A265"/>
    <mergeCell ref="A269:A272"/>
    <mergeCell ref="A273:A276"/>
    <mergeCell ref="A282:A288"/>
    <mergeCell ref="A289:A295"/>
    <mergeCell ref="A296:A302"/>
    <mergeCell ref="A303:A309"/>
    <mergeCell ref="A353:A356"/>
    <mergeCell ref="A357:A359"/>
    <mergeCell ref="A310:A315"/>
    <mergeCell ref="A321:A324"/>
    <mergeCell ref="A325:A328"/>
    <mergeCell ref="A329:A332"/>
    <mergeCell ref="A336:A339"/>
    <mergeCell ref="A340:A343"/>
    <mergeCell ref="A344:A347"/>
    <mergeCell ref="A216:A219"/>
    <mergeCell ref="A220:A223"/>
    <mergeCell ref="C224:F224"/>
    <mergeCell ref="A234:F234"/>
    <mergeCell ref="C235:F235"/>
    <mergeCell ref="A236:B236"/>
    <mergeCell ref="A243:F243"/>
    <mergeCell ref="C244:F244"/>
    <mergeCell ref="A245:B245"/>
    <mergeCell ref="A254:F254"/>
    <mergeCell ref="C255:F255"/>
    <mergeCell ref="A256:B256"/>
    <mergeCell ref="A266:B266"/>
    <mergeCell ref="C266:F266"/>
    <mergeCell ref="C350:F350"/>
    <mergeCell ref="A351:B351"/>
    <mergeCell ref="A317:F317"/>
    <mergeCell ref="C318:F318"/>
    <mergeCell ref="A319:B319"/>
    <mergeCell ref="A333:B333"/>
    <mergeCell ref="C333:F333"/>
    <mergeCell ref="A334:B334"/>
    <mergeCell ref="A349:F349"/>
    <mergeCell ref="A102:B102"/>
    <mergeCell ref="A104:A105"/>
    <mergeCell ref="A106:A107"/>
    <mergeCell ref="A108:A109"/>
    <mergeCell ref="C110:F110"/>
    <mergeCell ref="A111:A112"/>
    <mergeCell ref="A113:A114"/>
    <mergeCell ref="A115:A116"/>
    <mergeCell ref="C117:F117"/>
    <mergeCell ref="A118:A119"/>
    <mergeCell ref="A120:A121"/>
    <mergeCell ref="A122:A123"/>
    <mergeCell ref="A125:F125"/>
    <mergeCell ref="C126:F126"/>
    <mergeCell ref="A127:B127"/>
    <mergeCell ref="A129:A130"/>
    <mergeCell ref="A131:A132"/>
    <mergeCell ref="A133:A134"/>
    <mergeCell ref="A136:F136"/>
    <mergeCell ref="C137:F137"/>
    <mergeCell ref="A138:B138"/>
    <mergeCell ref="A140:A141"/>
    <mergeCell ref="A142:A143"/>
    <mergeCell ref="A144:A145"/>
    <mergeCell ref="C146:F146"/>
    <mergeCell ref="A147:A148"/>
    <mergeCell ref="A149:A150"/>
    <mergeCell ref="C153:F153"/>
    <mergeCell ref="C192:F192"/>
    <mergeCell ref="A193:B193"/>
    <mergeCell ref="A212:F212"/>
    <mergeCell ref="C213:F213"/>
    <mergeCell ref="A214:B214"/>
    <mergeCell ref="A163:F163"/>
    <mergeCell ref="C164:F164"/>
    <mergeCell ref="A165:B165"/>
    <mergeCell ref="A180:F180"/>
    <mergeCell ref="C181:F181"/>
    <mergeCell ref="A182:B182"/>
    <mergeCell ref="A191:F191"/>
    <mergeCell ref="A267:B267"/>
    <mergeCell ref="A278:J278"/>
    <mergeCell ref="C279:F279"/>
    <mergeCell ref="G279:J279"/>
    <mergeCell ref="A280:B280"/>
  </mergeCells>
  <conditionalFormatting sqref="G4">
    <cfRule type="notContainsBlanks" dxfId="0" priority="1">
      <formula>LEN(TRIM(G4))&gt;0</formula>
    </cfRule>
  </conditionalFormatting>
  <conditionalFormatting sqref="C16:F23">
    <cfRule type="cellIs" dxfId="1" priority="2" operator="lessThan">
      <formula>110</formula>
    </cfRule>
  </conditionalFormatting>
  <conditionalFormatting sqref="C16:F23">
    <cfRule type="cellIs" dxfId="0" priority="3" operator="greaterThanOrEqual">
      <formula>110</formula>
    </cfRule>
  </conditionalFormatting>
  <conditionalFormatting sqref="C29:F37">
    <cfRule type="cellIs" dxfId="2" priority="4" operator="lessThan">
      <formula>110</formula>
    </cfRule>
  </conditionalFormatting>
  <conditionalFormatting sqref="C29:F37">
    <cfRule type="cellIs" dxfId="0" priority="5" operator="greaterThanOrEqual">
      <formula>110</formula>
    </cfRule>
  </conditionalFormatting>
  <conditionalFormatting sqref="C43:F52">
    <cfRule type="cellIs" dxfId="1" priority="6" operator="lessThan">
      <formula>120</formula>
    </cfRule>
  </conditionalFormatting>
  <conditionalFormatting sqref="C43:F52">
    <cfRule type="cellIs" dxfId="3" priority="7" operator="greaterThanOrEqual">
      <formula>120</formula>
    </cfRule>
  </conditionalFormatting>
  <conditionalFormatting sqref="C67:F82 G67:J81">
    <cfRule type="cellIs" dxfId="2" priority="8" operator="lessThan">
      <formula>140</formula>
    </cfRule>
  </conditionalFormatting>
  <conditionalFormatting sqref="C67:F82 G67:J81">
    <cfRule type="cellIs" dxfId="0" priority="9" operator="greaterThanOrEqual">
      <formula>140</formula>
    </cfRule>
  </conditionalFormatting>
  <conditionalFormatting sqref="C87:F99 C195:F210">
    <cfRule type="cellIs" dxfId="1" priority="10" operator="lessThan">
      <formula>100</formula>
    </cfRule>
  </conditionalFormatting>
  <conditionalFormatting sqref="C87:F99 C195:F210">
    <cfRule type="cellIs" dxfId="3" priority="11" operator="greaterThanOrEqual">
      <formula>100</formula>
    </cfRule>
  </conditionalFormatting>
  <conditionalFormatting sqref="C58:F62">
    <cfRule type="cellIs" dxfId="1" priority="12" operator="lessThan">
      <formula>135</formula>
    </cfRule>
  </conditionalFormatting>
  <conditionalFormatting sqref="C58:F62">
    <cfRule type="cellIs" dxfId="0" priority="13" operator="greaterThanOrEqual">
      <formula>135</formula>
    </cfRule>
  </conditionalFormatting>
  <conditionalFormatting sqref="C5:F10">
    <cfRule type="cellIs" dxfId="4" priority="14" operator="lessThan">
      <formula>130</formula>
    </cfRule>
  </conditionalFormatting>
  <conditionalFormatting sqref="C5:F10">
    <cfRule type="cellIs" dxfId="0" priority="15" operator="greaterThanOrEqual">
      <formula>130</formula>
    </cfRule>
  </conditionalFormatting>
  <conditionalFormatting sqref="C118:F123 C111:F116 C104:F109">
    <cfRule type="cellIs" dxfId="1" priority="16" operator="lessThan">
      <formula>130</formula>
    </cfRule>
  </conditionalFormatting>
  <conditionalFormatting sqref="C118:F123 C111:F116 C104:F109">
    <cfRule type="cellIs" dxfId="0" priority="17" operator="greaterThanOrEqual">
      <formula>130</formula>
    </cfRule>
  </conditionalFormatting>
  <conditionalFormatting sqref="C129:F134">
    <cfRule type="cellIs" dxfId="1" priority="18" operator="lessThan">
      <formula>130</formula>
    </cfRule>
  </conditionalFormatting>
  <conditionalFormatting sqref="C129:F134">
    <cfRule type="cellIs" dxfId="0" priority="19" operator="greaterThanOrEqual">
      <formula>130</formula>
    </cfRule>
  </conditionalFormatting>
  <conditionalFormatting sqref="C140:F145 C147:F152 C154:F161">
    <cfRule type="cellIs" dxfId="1" priority="20" operator="lessThan">
      <formula>120</formula>
    </cfRule>
  </conditionalFormatting>
  <conditionalFormatting sqref="C140:F145 C147:F152 C154:F161">
    <cfRule type="cellIs" dxfId="0" priority="21" operator="greaterThanOrEqual">
      <formula>120</formula>
    </cfRule>
  </conditionalFormatting>
  <conditionalFormatting sqref="C167:F178">
    <cfRule type="cellIs" dxfId="1" priority="22" operator="lessThan">
      <formula>140</formula>
    </cfRule>
  </conditionalFormatting>
  <conditionalFormatting sqref="C167:F178">
    <cfRule type="cellIs" dxfId="0" priority="23" operator="greaterThanOrEqual">
      <formula>140</formula>
    </cfRule>
  </conditionalFormatting>
  <conditionalFormatting sqref="C183:F189 C352:F359">
    <cfRule type="cellIs" dxfId="1" priority="24" operator="lessThan">
      <formula>100</formula>
    </cfRule>
  </conditionalFormatting>
  <conditionalFormatting sqref="C183:F189 C352:F359">
    <cfRule type="cellIs" dxfId="0" priority="25" operator="greaterThanOrEqual">
      <formula>100</formula>
    </cfRule>
  </conditionalFormatting>
  <conditionalFormatting sqref="G216">
    <cfRule type="notContainsBlanks" dxfId="0" priority="26">
      <formula>LEN(TRIM(G216))&gt;0</formula>
    </cfRule>
  </conditionalFormatting>
  <conditionalFormatting sqref="C216:F223 C225:F232">
    <cfRule type="cellIs" dxfId="1" priority="27" operator="lessThan">
      <formula>120</formula>
    </cfRule>
  </conditionalFormatting>
  <conditionalFormatting sqref="C216:F223 C225:F232">
    <cfRule type="cellIs" dxfId="0" priority="28" operator="greaterThanOrEqual">
      <formula>120</formula>
    </cfRule>
  </conditionalFormatting>
  <conditionalFormatting sqref="C247:F252">
    <cfRule type="cellIs" dxfId="4" priority="29" operator="lessThan">
      <formula>120</formula>
    </cfRule>
  </conditionalFormatting>
  <conditionalFormatting sqref="C247:F252">
    <cfRule type="cellIs" dxfId="0" priority="30" operator="greaterThanOrEqual">
      <formula>120</formula>
    </cfRule>
  </conditionalFormatting>
  <conditionalFormatting sqref="C238:F241">
    <cfRule type="cellIs" dxfId="1" priority="31" operator="lessThan">
      <formula>110</formula>
    </cfRule>
  </conditionalFormatting>
  <conditionalFormatting sqref="C238:F241">
    <cfRule type="cellIs" dxfId="0" priority="32" operator="greaterThanOrEqual">
      <formula>110</formula>
    </cfRule>
  </conditionalFormatting>
  <conditionalFormatting sqref="C282:J315">
    <cfRule type="cellIs" dxfId="1" priority="33" operator="lessThan">
      <formula>110</formula>
    </cfRule>
  </conditionalFormatting>
  <conditionalFormatting sqref="C282:J315">
    <cfRule type="cellIs" dxfId="0" priority="34" operator="greaterThanOrEqual">
      <formula>110</formula>
    </cfRule>
  </conditionalFormatting>
  <conditionalFormatting sqref="C258:F265">
    <cfRule type="cellIs" dxfId="4" priority="35" operator="lessThan">
      <formula>160</formula>
    </cfRule>
  </conditionalFormatting>
  <conditionalFormatting sqref="C258:F265">
    <cfRule type="cellIs" dxfId="0" priority="36" operator="greaterThanOrEqual">
      <formula>160</formula>
    </cfRule>
  </conditionalFormatting>
  <conditionalFormatting sqref="C269:F276">
    <cfRule type="cellIs" dxfId="1" priority="37" operator="lessThan">
      <formula>160</formula>
    </cfRule>
  </conditionalFormatting>
  <conditionalFormatting sqref="C269:F276">
    <cfRule type="cellIs" dxfId="0" priority="38" operator="greaterThanOrEqual">
      <formula>160</formula>
    </cfRule>
  </conditionalFormatting>
  <conditionalFormatting sqref="C321:F332 C336:F347">
    <cfRule type="cellIs" dxfId="1" priority="39" operator="lessThan">
      <formula>140</formula>
    </cfRule>
  </conditionalFormatting>
  <conditionalFormatting sqref="C321:F332 C336:F347">
    <cfRule type="cellIs" dxfId="0" priority="40" operator="greaterThanOrEqual">
      <formula>140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94</v>
      </c>
      <c r="B1" s="58" t="s">
        <v>95</v>
      </c>
      <c r="C1" s="58" t="s">
        <v>96</v>
      </c>
      <c r="D1" s="58" t="s">
        <v>97</v>
      </c>
      <c r="E1" s="58" t="s">
        <v>98</v>
      </c>
      <c r="F1" s="58" t="s">
        <v>99</v>
      </c>
    </row>
    <row r="2">
      <c r="A2" s="58" t="s">
        <v>100</v>
      </c>
      <c r="B2" s="58">
        <v>80.0</v>
      </c>
      <c r="C2" s="58">
        <v>80.0</v>
      </c>
      <c r="D2" s="58">
        <v>80.0</v>
      </c>
      <c r="E2" s="58">
        <v>80.0</v>
      </c>
      <c r="F2" s="58">
        <v>80.0</v>
      </c>
    </row>
    <row r="3">
      <c r="A3" s="58" t="s">
        <v>101</v>
      </c>
      <c r="B3" s="58">
        <v>95.0</v>
      </c>
      <c r="C3" s="58">
        <v>95.0</v>
      </c>
      <c r="D3" s="58">
        <v>95.0</v>
      </c>
      <c r="E3" s="58">
        <v>95.0</v>
      </c>
      <c r="F3" s="58">
        <v>95.0</v>
      </c>
    </row>
    <row r="4">
      <c r="A4" s="58" t="s">
        <v>102</v>
      </c>
      <c r="B4" s="59">
        <v>0.25</v>
      </c>
      <c r="C4" s="59">
        <f>(25+15)%</f>
        <v>0.4</v>
      </c>
      <c r="D4" s="59">
        <v>0.45</v>
      </c>
      <c r="E4" s="59">
        <f>(40+20)%</f>
        <v>0.6</v>
      </c>
      <c r="F4" s="59">
        <f>(40+20+20)%</f>
        <v>0.8</v>
      </c>
    </row>
    <row r="5">
      <c r="A5" s="58" t="s">
        <v>103</v>
      </c>
      <c r="B5" s="60">
        <f t="shared" ref="B5:F5" si="1">(B2+20)/((B3+20)*(1-B4)+B2+20)</f>
        <v>0.5369127517</v>
      </c>
      <c r="C5" s="60">
        <f t="shared" si="1"/>
        <v>0.5917159763</v>
      </c>
      <c r="D5" s="60">
        <f t="shared" si="1"/>
        <v>0.6125574273</v>
      </c>
      <c r="E5" s="60">
        <f t="shared" si="1"/>
        <v>0.6849315068</v>
      </c>
      <c r="F5" s="60">
        <f t="shared" si="1"/>
        <v>0.8130081301</v>
      </c>
    </row>
    <row r="6">
      <c r="B6" s="61"/>
    </row>
    <row r="7">
      <c r="A7" s="58" t="s">
        <v>104</v>
      </c>
      <c r="B7" s="58" t="s">
        <v>95</v>
      </c>
      <c r="C7" s="58" t="s">
        <v>105</v>
      </c>
      <c r="D7" s="58" t="s">
        <v>106</v>
      </c>
      <c r="E7" s="58" t="s">
        <v>107</v>
      </c>
    </row>
    <row r="8">
      <c r="A8" s="58" t="s">
        <v>100</v>
      </c>
      <c r="B8" s="58">
        <v>80.0</v>
      </c>
      <c r="C8" s="58">
        <v>80.0</v>
      </c>
      <c r="D8" s="58">
        <v>80.0</v>
      </c>
      <c r="E8" s="58">
        <v>80.0</v>
      </c>
    </row>
    <row r="9">
      <c r="A9" s="58" t="s">
        <v>101</v>
      </c>
      <c r="B9" s="58">
        <v>95.0</v>
      </c>
      <c r="C9" s="58">
        <v>95.0</v>
      </c>
      <c r="D9" s="58">
        <v>95.0</v>
      </c>
      <c r="E9" s="58">
        <v>95.0</v>
      </c>
    </row>
    <row r="10">
      <c r="A10" s="58" t="s">
        <v>102</v>
      </c>
      <c r="B10" s="59">
        <v>0.2</v>
      </c>
      <c r="C10" s="59">
        <f>(20+24)%</f>
        <v>0.44</v>
      </c>
      <c r="D10" s="59">
        <f>(45+20+8)%</f>
        <v>0.73</v>
      </c>
      <c r="E10" s="59">
        <f>(20+45+8+24)%</f>
        <v>0.97</v>
      </c>
    </row>
    <row r="11">
      <c r="A11" s="58" t="s">
        <v>103</v>
      </c>
      <c r="B11" s="60">
        <f t="shared" ref="B11:E11" si="2">(B8+20)/((B9+20)*(1-B10)+B8+20)</f>
        <v>0.5208333333</v>
      </c>
      <c r="C11" s="60">
        <f t="shared" si="2"/>
        <v>0.6082725061</v>
      </c>
      <c r="D11" s="60">
        <f t="shared" si="2"/>
        <v>0.7630675315</v>
      </c>
      <c r="E11" s="60">
        <f t="shared" si="2"/>
        <v>0.9666505558</v>
      </c>
    </row>
    <row r="13">
      <c r="A13" s="58" t="s">
        <v>108</v>
      </c>
      <c r="B13" s="58" t="s">
        <v>109</v>
      </c>
      <c r="C13" s="58" t="s">
        <v>110</v>
      </c>
      <c r="D13" s="58" t="s">
        <v>111</v>
      </c>
      <c r="E13" s="58" t="s">
        <v>112</v>
      </c>
    </row>
    <row r="14">
      <c r="A14" s="58" t="s">
        <v>100</v>
      </c>
      <c r="B14" s="58">
        <v>80.0</v>
      </c>
      <c r="C14" s="58">
        <v>80.0</v>
      </c>
      <c r="D14" s="58">
        <v>80.0</v>
      </c>
      <c r="E14" s="58">
        <v>80.0</v>
      </c>
    </row>
    <row r="15">
      <c r="A15" s="58" t="s">
        <v>101</v>
      </c>
      <c r="B15" s="58">
        <v>95.0</v>
      </c>
      <c r="C15" s="58">
        <v>95.0</v>
      </c>
      <c r="D15" s="58">
        <v>95.0</v>
      </c>
      <c r="E15" s="58">
        <v>95.0</v>
      </c>
    </row>
    <row r="16">
      <c r="A16" s="58" t="s">
        <v>102</v>
      </c>
      <c r="B16" s="59">
        <v>0.14</v>
      </c>
      <c r="C16" s="59">
        <f>(20+14)%</f>
        <v>0.34</v>
      </c>
      <c r="D16" s="59">
        <f>(14+10)%</f>
        <v>0.24</v>
      </c>
      <c r="E16" s="59">
        <f>(14+20+10)%</f>
        <v>0.44</v>
      </c>
    </row>
    <row r="17">
      <c r="A17" s="58" t="s">
        <v>103</v>
      </c>
      <c r="B17" s="60">
        <f t="shared" ref="B17:E17" si="3">(B14+20)/((B15+20)*(1-B16)+B14+20)</f>
        <v>0.5027652086</v>
      </c>
      <c r="C17" s="60">
        <f t="shared" si="3"/>
        <v>0.5685048323</v>
      </c>
      <c r="D17" s="60">
        <f t="shared" si="3"/>
        <v>0.5336179296</v>
      </c>
      <c r="E17" s="60">
        <f t="shared" si="3"/>
        <v>0.6082725061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113</v>
      </c>
      <c r="B1" s="58"/>
      <c r="C1" s="58"/>
      <c r="D1" s="58"/>
      <c r="E1" s="58"/>
      <c r="G1" s="62" t="s">
        <v>114</v>
      </c>
      <c r="H1" s="3"/>
      <c r="K1" s="62" t="s">
        <v>115</v>
      </c>
      <c r="L1" s="3"/>
    </row>
    <row r="2">
      <c r="B2" s="58" t="s">
        <v>116</v>
      </c>
      <c r="C2" s="58" t="s">
        <v>117</v>
      </c>
      <c r="D2" s="58" t="s">
        <v>118</v>
      </c>
      <c r="G2" s="63" t="s">
        <v>119</v>
      </c>
      <c r="H2" s="64">
        <f>2777+1000*(C4+D4)%</f>
        <v>2897</v>
      </c>
      <c r="K2" s="65" t="s">
        <v>119</v>
      </c>
      <c r="L2" s="66">
        <f>2518</f>
        <v>2518</v>
      </c>
      <c r="N2" s="58">
        <v>674.0</v>
      </c>
      <c r="O2" s="67">
        <f>MIN(50%,L6*20%)</f>
        <v>0.5</v>
      </c>
      <c r="W2" s="58">
        <v>15.0</v>
      </c>
      <c r="X2" s="58">
        <v>139.0</v>
      </c>
      <c r="Y2" s="68">
        <f t="shared" ref="Y2:Y4" si="1">SUM(W2:X2)</f>
        <v>154</v>
      </c>
    </row>
    <row r="3">
      <c r="B3" s="69">
        <v>523.0</v>
      </c>
      <c r="C3" s="70">
        <f>(43.2*IF(F17="Atk",3,2))+IF(D17="Fall of An Aeon",64,0)</f>
        <v>86.4</v>
      </c>
      <c r="D3" s="69">
        <f>3.4+3.8</f>
        <v>7.2</v>
      </c>
      <c r="E3" s="71">
        <f>2777+1000*(C4)%</f>
        <v>2897</v>
      </c>
      <c r="G3" s="65" t="s">
        <v>120</v>
      </c>
      <c r="H3" s="66">
        <f>(B7*(1+SUM(C7:C9)))+IF(F17="Spd",25,0)+D7</f>
        <v>179.44</v>
      </c>
      <c r="K3" s="65" t="s">
        <v>121</v>
      </c>
      <c r="L3" s="66">
        <f>163.1+(98*C8)</f>
        <v>172.9</v>
      </c>
      <c r="N3" s="58">
        <f>IF(H20=TRUE,529,423)</f>
        <v>529</v>
      </c>
      <c r="O3" s="59">
        <f>(IF(J24=TRUE,43.2,0)+10)%</f>
        <v>0.1</v>
      </c>
      <c r="W3" s="58">
        <v>12.0</v>
      </c>
      <c r="X3" s="58">
        <v>69.0</v>
      </c>
      <c r="Y3" s="68">
        <f t="shared" si="1"/>
        <v>81</v>
      </c>
    </row>
    <row r="4">
      <c r="B4" s="69">
        <f>IFS(D17="Whereabouts Should Dreams Rest",476,D17="Fall of An Aeon",529,OR(D17="Indelible S5",D17="Indelible S1",D17="Whereabouts Should Dreams Rest S5"),476)</f>
        <v>476</v>
      </c>
      <c r="C4" s="72">
        <f>IF(H18=TRUE,12,0)</f>
        <v>12</v>
      </c>
      <c r="D4" s="68">
        <f>0</f>
        <v>0</v>
      </c>
      <c r="E4" s="61"/>
      <c r="G4" s="65" t="s">
        <v>122</v>
      </c>
      <c r="H4" s="66">
        <f>H3+60</f>
        <v>239.44</v>
      </c>
      <c r="K4" s="65" t="s">
        <v>123</v>
      </c>
      <c r="L4" s="73">
        <v>0.108</v>
      </c>
      <c r="W4" s="58">
        <v>4.0</v>
      </c>
      <c r="X4" s="58">
        <v>18.0</v>
      </c>
      <c r="Y4" s="68">
        <f t="shared" si="1"/>
        <v>22</v>
      </c>
    </row>
    <row r="5">
      <c r="E5" s="61">
        <f>B3+B4+(B3+B4)*(SUM(C3:D4))%+352+33+21</f>
        <v>2459.944</v>
      </c>
      <c r="G5" s="65" t="s">
        <v>124</v>
      </c>
      <c r="H5" s="74">
        <f>SUM(B12:E15)+IF(H19=TRUE,12,0)%+IF(F20=TRUE,40,0)%</f>
        <v>5.3186</v>
      </c>
      <c r="K5" s="65" t="s">
        <v>125</v>
      </c>
      <c r="L5" s="73">
        <v>0.5</v>
      </c>
    </row>
    <row r="6">
      <c r="B6" s="58" t="s">
        <v>121</v>
      </c>
      <c r="C6" s="58" t="s">
        <v>117</v>
      </c>
      <c r="D6" s="58" t="s">
        <v>118</v>
      </c>
      <c r="G6" s="65" t="s">
        <v>126</v>
      </c>
      <c r="H6" s="75">
        <f>(68+IF(F19=TRUE,24,0))%</f>
        <v>0.92</v>
      </c>
      <c r="K6" s="65" t="s">
        <v>124</v>
      </c>
      <c r="L6" s="76">
        <f>(201.4-IF(H20=FALSE,12,0))%+SUM(C12:D13,C14)+IF(F20=TRUE,40,0)%</f>
        <v>3.7996</v>
      </c>
    </row>
    <row r="7">
      <c r="B7" s="69">
        <v>104.0</v>
      </c>
      <c r="C7" s="77">
        <v>0.06</v>
      </c>
      <c r="D7" s="69">
        <f>5+4.6+10.1+6.9+7.2</f>
        <v>33.8</v>
      </c>
      <c r="G7" s="65" t="s">
        <v>127</v>
      </c>
      <c r="H7" s="75">
        <f>(IF(B18=TRUE,25,0))%</f>
        <v>0.25</v>
      </c>
      <c r="K7" s="65" t="s">
        <v>126</v>
      </c>
      <c r="L7" s="76">
        <f>(68+IF(F19=TRUE,24,0))%</f>
        <v>0.92</v>
      </c>
    </row>
    <row r="8">
      <c r="C8" s="78">
        <f>IF(F18=TRUE,22,10)%</f>
        <v>0.1</v>
      </c>
      <c r="G8" s="65" t="s">
        <v>128</v>
      </c>
      <c r="H8" s="75">
        <f>IFS(AND(B17=TRUE,D18=TRUE,D20=TRUE),'DEF Reduction Sheet'!F4,AND(D18=TRUE,B17=TRUE),'DEF Reduction Sheet'!E4,D18=TRUE,'DEF Reduction Sheet'!D4,B17=TRUE,'DEF Reduction Sheet'!C4,AND(B17=FALSE,D18=FALSE),'DEF Reduction Sheet'!B4)</f>
        <v>0.8</v>
      </c>
      <c r="K8" s="65" t="s">
        <v>127</v>
      </c>
      <c r="L8" s="76">
        <f>IF(B18=TRUE,25%,0)</f>
        <v>0.25</v>
      </c>
    </row>
    <row r="9">
      <c r="C9" s="60"/>
      <c r="G9" s="79" t="s">
        <v>129</v>
      </c>
      <c r="H9" s="80">
        <f>(20+
IF(D17="Whereabouts Should Dreams Rest",24,0)+
IF(D17="Whereabouts Should Dreams Rest S5",40,0)+
IF(H30=TRUE,13.2,0)+
IF(B20=TRUE,25,0)+
IF(H20=TRUE,18,0))%</f>
        <v>0.87</v>
      </c>
      <c r="K9" s="65" t="s">
        <v>128</v>
      </c>
      <c r="L9" s="76">
        <f>(25+IF(D18=TRUE,20,0)+IF(D20=TRUE,20,0))%</f>
        <v>0.65</v>
      </c>
    </row>
    <row r="10">
      <c r="G10" s="58" t="s">
        <v>130</v>
      </c>
      <c r="H10" s="58" t="s">
        <v>131</v>
      </c>
      <c r="K10" s="65" t="s">
        <v>129</v>
      </c>
      <c r="L10" s="76">
        <f>IF(B20=TRUE,25%,0)+L11</f>
        <v>0.43</v>
      </c>
    </row>
    <row r="11">
      <c r="B11" s="58" t="s">
        <v>124</v>
      </c>
      <c r="C11" s="58" t="s">
        <v>132</v>
      </c>
      <c r="D11" s="58" t="s">
        <v>133</v>
      </c>
      <c r="E11" s="58" t="s">
        <v>118</v>
      </c>
      <c r="G11" s="69" t="s">
        <v>94</v>
      </c>
      <c r="H11" s="67">
        <f>H5</f>
        <v>5.3186</v>
      </c>
      <c r="K11" s="79" t="s">
        <v>134</v>
      </c>
      <c r="L11" s="81">
        <f>IF(H20=TRUE,18%,0)</f>
        <v>0.18</v>
      </c>
    </row>
    <row r="12">
      <c r="B12" s="82">
        <f>(37.3+IF(H2&gt;1800,ROUNDDOWN((H2-1800)/10)*0.8,0))%</f>
        <v>1.245</v>
      </c>
      <c r="C12" s="78">
        <v>0.2</v>
      </c>
      <c r="D12" s="83">
        <f>IF(B19=TRUE,33%,0)</f>
        <v>0.33</v>
      </c>
      <c r="E12" s="82">
        <f>(29.1+24.6+11+23.3)%</f>
        <v>0.88</v>
      </c>
      <c r="G12" s="84" t="s">
        <v>135</v>
      </c>
      <c r="H12" s="85">
        <f>(247.4+IF(F19=FALSE,-4,0))%</f>
        <v>2.474</v>
      </c>
      <c r="I12" s="67">
        <f>SUM(H12,D12,D13,C12,C14)+IF(F20=TRUE,40,0)%</f>
        <v>3.704</v>
      </c>
    </row>
    <row r="13">
      <c r="A13" s="58" t="s">
        <v>109</v>
      </c>
      <c r="B13" s="82">
        <f>(IFS(D17="Whereabouts Should Dreams Rest",60,D17="Fall of An Aeon",0,D17="Indelible S5",56,D17="Indelible S1",28,D17="Whereabouts Should Dreams Rest S5",100))%</f>
        <v>0.6</v>
      </c>
      <c r="C13" s="83">
        <f>I12*15%</f>
        <v>0.5556</v>
      </c>
      <c r="D13" s="83">
        <f>IF(D19=TRUE,30%,0)</f>
        <v>0.3</v>
      </c>
      <c r="E13" s="67"/>
      <c r="G13" s="72" t="s">
        <v>136</v>
      </c>
      <c r="H13" s="67">
        <f>(175.5%+SUM(C12:D13))+IF(F20=TRUE,40,0)%</f>
        <v>3.1406</v>
      </c>
    </row>
    <row r="14">
      <c r="A14" s="58" t="s">
        <v>137</v>
      </c>
      <c r="B14" s="82">
        <v>0.16</v>
      </c>
      <c r="C14" s="82">
        <v>0.4</v>
      </c>
      <c r="D14" s="67"/>
      <c r="E14" s="67"/>
      <c r="G14" s="86" t="s">
        <v>138</v>
      </c>
      <c r="H14" s="67">
        <f>(130.3%+SUM(C12:D14))+IF(H20=TRUE,60%,0)</f>
        <v>3.6886</v>
      </c>
    </row>
    <row r="15">
      <c r="A15" s="58" t="s">
        <v>139</v>
      </c>
      <c r="B15" s="82">
        <v>0.648</v>
      </c>
      <c r="C15" s="67"/>
      <c r="D15" s="67"/>
      <c r="E15" s="67"/>
    </row>
    <row r="17">
      <c r="A17" s="58" t="s">
        <v>140</v>
      </c>
      <c r="B17" s="58" t="b">
        <v>1</v>
      </c>
      <c r="C17" s="58" t="s">
        <v>141</v>
      </c>
      <c r="D17" s="58" t="s">
        <v>142</v>
      </c>
      <c r="E17" s="58" t="s">
        <v>143</v>
      </c>
      <c r="F17" s="58" t="s">
        <v>121</v>
      </c>
      <c r="G17" s="58" t="s">
        <v>144</v>
      </c>
      <c r="H17" s="58" t="b">
        <v>0</v>
      </c>
    </row>
    <row r="18">
      <c r="A18" s="58" t="s">
        <v>145</v>
      </c>
      <c r="B18" s="58" t="b">
        <v>1</v>
      </c>
      <c r="C18" s="58" t="s">
        <v>146</v>
      </c>
      <c r="D18" s="58" t="b">
        <v>1</v>
      </c>
      <c r="E18" s="58" t="s">
        <v>147</v>
      </c>
      <c r="F18" s="58" t="b">
        <v>0</v>
      </c>
      <c r="G18" s="58" t="s">
        <v>148</v>
      </c>
      <c r="H18" s="58" t="b">
        <v>1</v>
      </c>
    </row>
    <row r="19">
      <c r="A19" s="58" t="s">
        <v>149</v>
      </c>
      <c r="B19" s="58" t="b">
        <v>1</v>
      </c>
      <c r="C19" s="58" t="s">
        <v>150</v>
      </c>
      <c r="D19" s="58" t="b">
        <v>1</v>
      </c>
      <c r="E19" s="58" t="s">
        <v>151</v>
      </c>
      <c r="F19" s="58" t="b">
        <v>1</v>
      </c>
    </row>
    <row r="20">
      <c r="A20" s="58" t="s">
        <v>152</v>
      </c>
      <c r="B20" s="58" t="b">
        <v>1</v>
      </c>
      <c r="C20" s="58" t="s">
        <v>153</v>
      </c>
      <c r="D20" s="58" t="b">
        <v>1</v>
      </c>
      <c r="E20" s="58" t="s">
        <v>154</v>
      </c>
      <c r="F20" s="58" t="b">
        <v>0</v>
      </c>
      <c r="G20" s="58" t="s">
        <v>155</v>
      </c>
      <c r="H20" s="58" t="b">
        <v>1</v>
      </c>
    </row>
    <row r="22">
      <c r="A22" s="87" t="str">
        <f>"Team Total DMG: " &amp; ROUNDDOWN(SUM(B25:E26))</f>
        <v>Team Total DMG: 1423496</v>
      </c>
      <c r="B22" s="88"/>
      <c r="C22" s="89"/>
      <c r="D22" s="90"/>
      <c r="E22" s="90"/>
      <c r="F22" s="91"/>
      <c r="G22" s="92" t="s">
        <v>156</v>
      </c>
      <c r="H22" s="93"/>
    </row>
    <row r="23">
      <c r="A23" s="94" t="s">
        <v>157</v>
      </c>
      <c r="B23" s="95" t="s">
        <v>94</v>
      </c>
      <c r="C23" s="96" t="s">
        <v>135</v>
      </c>
      <c r="D23" s="97" t="s">
        <v>115</v>
      </c>
      <c r="E23" s="98" t="s">
        <v>136</v>
      </c>
      <c r="G23" s="58" t="s">
        <v>158</v>
      </c>
      <c r="H23" s="99">
        <v>80.0</v>
      </c>
    </row>
    <row r="24">
      <c r="A24" s="94" t="s">
        <v>159</v>
      </c>
      <c r="B24" s="100">
        <f>2*3767.5533*(0.5+(H28/120)*(1+H5)*(((H23+20)/((H27+20)*(1-H8+IF(D20=TRUE,20%,0))+(H23+20)))*(1-(IF(H32=TRUE,0,20)%+IF(H31=TRUE,20,0)%-H7-IF(H17=TRUE,20,0)%))*(1+H9)))*0.9 + 
1*3767.5533*(0.5+(H28/120)*(1+H13)*((H24+20)/((H27+20)*(1-IF(D18=TRUE,20%,0))+(H24+20)))*(1-(IF(H35=TRUE,0,20)%-H7))*(1+IFS(H30=TRUE,13.2%,B20=TRUE,20%,H30&lt;&gt;TRUE,0)+IF(H20=TRUE,18%,0))*1.2)</f>
        <v>392611.0691</v>
      </c>
      <c r="C24" s="101">
        <f>0.5*3767.5533*(0.5+(H28/120)*(1+I12)*(((H23+20)/((H27+20)*(1-IF(D18=TRUE,20%,0))+(H23+20)))*(1-(IF(H34=TRUE,0,20)%-H7))*(1+IFS(H30=TRUE,13.2%,B20=TRUE,20%,H30&lt;&gt;TRUE,0)+IF(H20=TRUE,18%,0))))*0.9 + 
1*3767.5533*(0.5+(H28/120)*(1+H13)*((H24+20)/((H27+20)*(1-IF(D18=TRUE,20%,0))+(H24+20)))*(1-(IF(H35=TRUE,0,20)%-H7))*(1+IF(H30=TRUE,12%,0)))*1.2</f>
        <v>80450.53321</v>
      </c>
      <c r="D24" s="102">
        <f>2*3767.5533*(0.5+(H28/120)*(1+L6)*(((H23+20)/((H27+20)*(1-L9+IF(D20=TRUE,20%,0))+(H23+20)))*(1-(IF(H32=TRUE,0,20)%-H7))*(1+L10)))*0.9 + 
1*3767.5533*(0.5+(H28/120)*(1+H13)*(((H25+20)/((H27+20)*(1-IF(D18=TRUE,20%,0))+(H25+20)))*(1-(IF(H35=TRUE,0,20)%-H7))*(1+L10)))*1.2</f>
        <v>243025.0998</v>
      </c>
      <c r="E24" s="103">
        <f>1*3767.5533*(0.5+(H28/120)*(1+H13)*(((H25+20)/((H27+20)*(1-IF(D18=TRUE,20%,0))+(H25+20)))*(1-(IF(H35=TRUE,0,20)%-H7))*(1+IFS(H30=TRUE,13.2%,B20=TRUE,20%,H30&lt;&gt;TRUE,0)+IF(H20=TRUE,18%,0))))*0.9 +
1*3767.5533*(0.5+(H28/120)*(1+H13)*(((H25+20)/((H27+20)*(1-IF(D18=TRUE,20%,0))+(H25+20)))*(1-(IF(H35=TRUE,0,20)%-H7))*(1+IF(H30=TRUE,12%,0))))*1.2</f>
        <v>103074.3374</v>
      </c>
      <c r="G24" s="58" t="s">
        <v>160</v>
      </c>
      <c r="H24" s="104">
        <v>80.0</v>
      </c>
      <c r="I24" s="58" t="s">
        <v>116</v>
      </c>
      <c r="J24" s="58" t="b">
        <v>0</v>
      </c>
    </row>
    <row r="25">
      <c r="A25" s="94" t="s">
        <v>161</v>
      </c>
      <c r="B25" s="105">
        <f>(3767.5533*((90*IF(H17=TRUE,2.5,2))/30)*(1+H5)*(1+IFS(H29=1,60%,H29=2,50%,H29=3,40%,H29=4,30%,H29&gt;=5,20%))*(((H23+20)/((H27+20)*(1-H8)+(H23+20))))*(1-(IF(H32=TRUE,0,20)%+IF(H31=TRUE,20,0)%-H7-IF(H17=TRUE,20,0)%))*(1+H9)) + ((3767.5533*((90*IF(H17=TRUE,2.5,2))/30)*(1+H5)*(((H23+20)/((H27+20)*(1-H8)+(H23+20)))*(1-(IF(H32=TRUE,0,20)%+IF(H31=TRUE,20,0)%-H7))*(1+H9)))*0.5)</f>
        <v>554608.6603</v>
      </c>
      <c r="C25" s="106">
        <f>3767.5533*(((60+(15*6))*1.5)/30)*(1+SUM(H12,D12,D13,C13))*(1+IFS(H29=1,60%,H29=2,50%,H29=3,40%,H29=4,30%,H29&gt;=5,20%))*(((H23+20)/((H27+20)*(1-IF(D18=TRUE,20%,0)-IF(D20=TRUE,20%,0))+H23+20)))*(1-(IF(H34=TRUE,0,20)%-H7))*(1+IFS(H30=TRUE,13.2%,B20=TRUE,20%,H30&lt;&gt;TRUE,0)+IF(H20=TRUE,18%,0))</f>
        <v>177526.7948</v>
      </c>
      <c r="D25" s="107">
        <f>SUM(B30:B32)</f>
        <v>382505.8538</v>
      </c>
      <c r="E25" s="108">
        <f>3767.5533*((30*1.5)/30)*(1+H13)*(1+IFS(H29=1,60%,H29=2,50%,H29=3,40%,H29=4,30%,H29&gt;=5,20%))*(((H25+20)/((H27+20)*(1-IF(D18=TRUE,20%,0)-IF(D20=TRUE,20%,0))+H25+20)))*(1-(IF(H35=TRUE,0,20)%-H7))*(1+IFS(H30=TRUE,13.2%,B20=TRUE,20%,H30&lt;&gt;TRUE,0)+IF(H20=TRUE,18%,0))</f>
        <v>31550.66729</v>
      </c>
      <c r="G25" s="58" t="s">
        <v>162</v>
      </c>
      <c r="H25" s="109">
        <v>80.0</v>
      </c>
    </row>
    <row r="26">
      <c r="A26" s="110" t="s">
        <v>163</v>
      </c>
      <c r="B26" s="111">
        <f>IF(H29=1,0,(3767.5533*(45*IF(H17=TRUE,2.5,2)*IF(H33=TRUE,1,55%)/30)*(1+H5)*(1+IFS(H29=1,60%,H29=2,50%,H29=3,40%,H29=4,30%,H29&gt;=5,20%))*(((H23+20)/((H27+20)*(1-H8)+(H23+20))))*(1-(IF(H33=TRUE,0,20)%+IF(H31=TRUE,20,0)%-H7))*(1+H9)) + 
((3767.5533*(45*IF(H17=TRUE,2.5,2)*IF(H33=TRUE,1,55%)/30)*(1+H5)*(((H23+20)/((H27+20)*(1-H8)+(H23+20)))*(1-(IF(H33=TRUE,0,20)%+IF(H31=TRUE,20,0)%-H7))*(1+H9)))*0.5))</f>
        <v>277304.3301</v>
      </c>
      <c r="G26" s="58" t="s">
        <v>164</v>
      </c>
      <c r="H26" s="112">
        <v>80.0</v>
      </c>
    </row>
    <row r="27">
      <c r="A27" s="65" t="s">
        <v>165</v>
      </c>
      <c r="B27" s="67">
        <f>(B25-369303)/369303</f>
        <v>0.5017713376</v>
      </c>
      <c r="D27" s="97" t="s">
        <v>138</v>
      </c>
      <c r="G27" s="58" t="s">
        <v>166</v>
      </c>
      <c r="H27" s="113">
        <v>82.0</v>
      </c>
      <c r="K27" s="114">
        <f>B25+(B26*IF(H29&gt;2,2,1))</f>
        <v>831912.9904</v>
      </c>
    </row>
    <row r="28">
      <c r="D28" s="102">
        <f>2*3767.5533*(0.5+(H28/120)*(1+H14)*(((H23+20)/((H27+20)*(1-IF(D18=TRUE,45,25)%)+(H23+20)))*(1-(IF(H32=TRUE,0,20)%-H7))*(1+13.2%+IF(H20=TRUE,25%,0))))*0.9 + 
1*3767.5533*(0.5+(H28/120)*(1+H14)*(((H23+20)/((H27+20)*(1-IF(D18=TRUE,45,25)%)+(H23+20)))*(1-(IF(H35=TRUE,0,20)%-H7))*(1+12%+IF(H20=TRUE,25%,0))))*1.2</f>
        <v>251898.6706</v>
      </c>
      <c r="G28" s="58" t="s">
        <v>167</v>
      </c>
      <c r="H28" s="115">
        <v>540.0</v>
      </c>
    </row>
    <row r="29">
      <c r="A29" s="116" t="s">
        <v>168</v>
      </c>
      <c r="D29" s="107">
        <f>B45+B46+B47</f>
        <v>299095.0132</v>
      </c>
      <c r="G29" s="58" t="s">
        <v>169</v>
      </c>
      <c r="H29" s="115">
        <v>2.0</v>
      </c>
    </row>
    <row r="30">
      <c r="A30" s="117" t="s">
        <v>170</v>
      </c>
      <c r="B30" s="118">
        <f>(150%*L2)*(1+L7)*(((H23+20)/((H27+20)*(1-(L9-25%))+(H23+20))))*(1+L8-IF(H32=FALSE,20%,0))*(1+L11)*(1+L5) +
3767.5533*((60*(1.5+IF(D20=TRUE,0.5,0)))/30)*(1+L6)*(1+IFS(H29=1,60%,H29=2,50%,H29=3,40%,H29=4,30%,H29&gt;=5,20%))*(((H23+20)/((H27+20)*(1-L9)+(H23+20))))*(1+L8-IF(H32=FALSE,20%,0))*(1+L10)</f>
        <v>152869.631</v>
      </c>
      <c r="G30" s="58" t="s">
        <v>171</v>
      </c>
      <c r="H30" s="115" t="b">
        <v>0</v>
      </c>
    </row>
    <row r="31">
      <c r="A31" s="117" t="s">
        <v>172</v>
      </c>
      <c r="B31" s="118">
        <f>(80%*L2)*(1+L7)*(((H23+20)/((H27+20)*(1-(L9-25%))+(H23+20))))*(1+L8-IF(H32=FALSE,20%,0))*(1+L11)*(1+L5) +
3767.5533*((30*(1.5+IF(D20=TRUE,0.5,0)))/30)*(1+L6)*(1+IFS(H29=1,60%,H29=2,50%,H29=3,40%,H29=4,30%,H29&gt;=5,20%))*(((H23+20)/((H27+20)*(1-L9)+(H23+20))))*(1+L8-IF(H32=FALSE,20%,0))*(1+L10)</f>
        <v>76766.5917</v>
      </c>
      <c r="G31" s="58" t="s">
        <v>173</v>
      </c>
      <c r="H31" s="115" t="b">
        <v>0</v>
      </c>
    </row>
    <row r="32">
      <c r="A32" s="86" t="s">
        <v>174</v>
      </c>
      <c r="B32" s="118">
        <f>(150%*L2)*(1+L7)*(((H23+20)/((H27+20)*(1-(L9-25%))+(H23+20))))*(1+L8-IF(H32=FALSE,20%,0))*(1+L11)*(1+L5) +
3767.5533*((60*(1.5+IF(D20=TRUE,0.5,0)))/30)*(1+L6)*(1+IFS(H29=1,60%,H29=2,50%,H29=3,40%,H29=4,30%,H29&gt;=5,20%))*(((H23+20)/((H27+20)*(1-L9)+(H23+20))))*(1+L8-IF(H32=FALSE,20%,0))*(1+L10)</f>
        <v>152869.631</v>
      </c>
      <c r="G32" s="58" t="s">
        <v>175</v>
      </c>
      <c r="H32" s="115" t="b">
        <v>1</v>
      </c>
    </row>
    <row r="33">
      <c r="A33" s="119" t="s">
        <v>176</v>
      </c>
      <c r="B33" s="120"/>
      <c r="G33" s="58" t="s">
        <v>177</v>
      </c>
      <c r="H33" s="115" t="b">
        <v>1</v>
      </c>
    </row>
    <row r="34">
      <c r="A34" s="121" t="s">
        <v>178</v>
      </c>
      <c r="B34" s="122">
        <f>(H13*0.1)+10%</f>
        <v>0.41406</v>
      </c>
      <c r="G34" s="58" t="s">
        <v>179</v>
      </c>
      <c r="H34" s="115" t="b">
        <v>0</v>
      </c>
    </row>
    <row r="35">
      <c r="A35" s="123" t="s">
        <v>180</v>
      </c>
      <c r="B35" s="124">
        <f>1*3767.5533*(0.5+(H28/120)*(1+H13)*((H24+20)/((H27+20)*(1-IF(D18=TRUE,20%,0))+(H24+20)))*(1-(IF(H35=TRUE,0,20)%-H7))*(1+IF(H30=TRUE,12%,0)))*0.6</f>
        <v>25483.6828</v>
      </c>
      <c r="C35" s="125"/>
      <c r="D35" s="125"/>
      <c r="E35" s="125"/>
      <c r="F35" s="125"/>
      <c r="G35" s="126" t="s">
        <v>181</v>
      </c>
      <c r="H35" s="127" t="b">
        <v>0</v>
      </c>
    </row>
    <row r="38">
      <c r="B38" s="59"/>
    </row>
    <row r="44">
      <c r="A44" s="116" t="s">
        <v>182</v>
      </c>
    </row>
    <row r="45">
      <c r="A45" s="117" t="s">
        <v>170</v>
      </c>
      <c r="B45" s="118">
        <f>(3767.5533*((60*1.7)/30)*(1+H14)*(1+IFS(H29=1,60%,H29=2,50%,H29=3,40%,H29=4,30%,H29&gt;=5,20%))*(((H23+20)/((H27+20)*(1-IF(D18=TRUE,45,25)%)+(H23+20))))*(1-(IF(H32=TRUE,0,20)%-H7))*(1+13.2%+IF(H20=TRUE,25%,0)))</f>
        <v>99698.33772</v>
      </c>
    </row>
    <row r="46">
      <c r="A46" s="117" t="s">
        <v>183</v>
      </c>
      <c r="B46" s="118">
        <f>(3767.5533*((90*1.7)/30)*(1+H14)*(1+IFS(H29=1,60%,H29=2,50%,H29=3,40%,H29=4,30%,H29&gt;=5,20%))*(((H23+20)/((H27+20)*(1-IF(D18=TRUE,45,25)%)+(H23+20))))*(1-(IF(H32=TRUE,0,20)%-H7))*(1+13.2%+IF(H20=TRUE,25%,0)))</f>
        <v>149547.5066</v>
      </c>
    </row>
    <row r="47">
      <c r="A47" s="117" t="s">
        <v>184</v>
      </c>
      <c r="B47" s="118">
        <f>(3767.5533*((30*1.7)/30)*(1+H14)*(1+IFS(H29=1,60%,H29=2,50%,H29=3,40%,H29=4,30%,H29&gt;=5,20%))*(((H23+20)/((H27+20)*(1-IF(D18=TRUE,45,25)%)+(H23+20))))*(1-(IF(H32=TRUE,0,20)%-H7))*(1+13.2%+IF(H20=TRUE,25%,0)))</f>
        <v>49849.16886</v>
      </c>
    </row>
    <row r="101">
      <c r="K101" s="128" t="s">
        <v>185</v>
      </c>
      <c r="N101" s="129" t="s">
        <v>186</v>
      </c>
      <c r="O101" s="2"/>
      <c r="P101" s="2"/>
      <c r="Q101" s="2"/>
      <c r="R101" s="2"/>
      <c r="S101" s="2"/>
      <c r="T101" s="2"/>
      <c r="U101" s="2"/>
      <c r="V101" s="2"/>
      <c r="W101" s="3"/>
    </row>
    <row r="102">
      <c r="K102" s="130" t="s">
        <v>187</v>
      </c>
      <c r="N102" s="63" t="s">
        <v>109</v>
      </c>
      <c r="O102" s="131" t="s">
        <v>188</v>
      </c>
      <c r="P102" s="131" t="s">
        <v>189</v>
      </c>
      <c r="Q102" s="131" t="s">
        <v>190</v>
      </c>
      <c r="R102" s="132" t="s">
        <v>191</v>
      </c>
      <c r="S102" s="63" t="s">
        <v>109</v>
      </c>
      <c r="T102" s="131" t="s">
        <v>188</v>
      </c>
      <c r="U102" s="131" t="s">
        <v>189</v>
      </c>
      <c r="V102" s="131" t="s">
        <v>190</v>
      </c>
      <c r="W102" s="132" t="s">
        <v>191</v>
      </c>
    </row>
    <row r="103">
      <c r="N103" s="133" t="s">
        <v>192</v>
      </c>
      <c r="O103" s="2"/>
      <c r="P103" s="2"/>
      <c r="Q103" s="2"/>
      <c r="R103" s="2"/>
      <c r="S103" s="2"/>
      <c r="T103" s="2"/>
      <c r="U103" s="2"/>
      <c r="V103" s="2"/>
      <c r="W103" s="3"/>
    </row>
    <row r="104">
      <c r="N104" s="134" t="s">
        <v>193</v>
      </c>
      <c r="O104" s="2"/>
      <c r="P104" s="2"/>
      <c r="Q104" s="2"/>
      <c r="R104" s="2"/>
      <c r="S104" s="2"/>
      <c r="T104" s="2"/>
      <c r="U104" s="2"/>
      <c r="V104" s="2"/>
      <c r="W104" s="3"/>
    </row>
    <row r="105">
      <c r="N105" s="65" t="s">
        <v>194</v>
      </c>
      <c r="O105" s="135">
        <v>-21.78</v>
      </c>
      <c r="P105" s="135">
        <v>-30.68</v>
      </c>
      <c r="Q105" s="135">
        <v>-33.54</v>
      </c>
      <c r="R105" s="136">
        <v>-36.88</v>
      </c>
      <c r="S105" s="65" t="s">
        <v>194</v>
      </c>
      <c r="T105" s="135">
        <v>-6.88</v>
      </c>
      <c r="U105" s="135">
        <v>-17.82</v>
      </c>
      <c r="V105" s="135">
        <v>-21.22</v>
      </c>
      <c r="W105" s="136">
        <v>-25.17</v>
      </c>
    </row>
    <row r="106">
      <c r="N106" s="65" t="s">
        <v>140</v>
      </c>
      <c r="O106" s="135">
        <v>-18.82</v>
      </c>
      <c r="P106" s="135">
        <v>-28.13</v>
      </c>
      <c r="Q106" s="135">
        <v>-31.09</v>
      </c>
      <c r="R106" s="136">
        <v>-34.56</v>
      </c>
      <c r="S106" s="65" t="s">
        <v>140</v>
      </c>
      <c r="T106" s="135">
        <v>-3.4</v>
      </c>
      <c r="U106" s="135">
        <v>-14.81</v>
      </c>
      <c r="V106" s="135">
        <v>-18.33</v>
      </c>
      <c r="W106" s="136">
        <v>-22.44</v>
      </c>
    </row>
    <row r="107">
      <c r="N107" s="65" t="s">
        <v>146</v>
      </c>
      <c r="O107" s="135">
        <v>-17.7</v>
      </c>
      <c r="P107" s="135">
        <v>-27.16</v>
      </c>
      <c r="Q107" s="135">
        <v>-30.17</v>
      </c>
      <c r="R107" s="136">
        <v>-33.67</v>
      </c>
      <c r="S107" s="65" t="s">
        <v>146</v>
      </c>
      <c r="T107" s="135">
        <v>-2.07</v>
      </c>
      <c r="U107" s="135">
        <v>-13.67</v>
      </c>
      <c r="V107" s="135">
        <v>-17.24</v>
      </c>
      <c r="W107" s="136">
        <v>-21.39</v>
      </c>
    </row>
    <row r="108">
      <c r="N108" s="65" t="s">
        <v>195</v>
      </c>
      <c r="O108" s="135">
        <v>-13.8</v>
      </c>
      <c r="P108" s="135">
        <v>-23.79</v>
      </c>
      <c r="Q108" s="135">
        <v>-26.94</v>
      </c>
      <c r="R108" s="136">
        <v>-30.61</v>
      </c>
      <c r="S108" s="65" t="s">
        <v>195</v>
      </c>
      <c r="T108" s="135">
        <v>2.53</v>
      </c>
      <c r="U108" s="135">
        <v>-9.7</v>
      </c>
      <c r="V108" s="135">
        <v>-13.43</v>
      </c>
      <c r="W108" s="136">
        <v>-17.78</v>
      </c>
    </row>
    <row r="109">
      <c r="N109" s="65" t="s">
        <v>196</v>
      </c>
      <c r="O109" s="135">
        <v>-7.65</v>
      </c>
      <c r="P109" s="135">
        <v>-18.54</v>
      </c>
      <c r="Q109" s="58">
        <v>-21.69</v>
      </c>
      <c r="R109" s="136">
        <v>-25.36</v>
      </c>
      <c r="S109" s="65" t="s">
        <v>196</v>
      </c>
      <c r="T109" s="135">
        <v>9.84</v>
      </c>
      <c r="U109" s="135">
        <v>-3.48</v>
      </c>
      <c r="V109" s="135">
        <v>-7.21</v>
      </c>
      <c r="W109" s="136">
        <v>-11.56</v>
      </c>
    </row>
    <row r="110">
      <c r="N110" s="134" t="s">
        <v>197</v>
      </c>
      <c r="O110" s="2"/>
      <c r="P110" s="2"/>
      <c r="Q110" s="2"/>
      <c r="R110" s="2"/>
      <c r="S110" s="2"/>
      <c r="T110" s="2"/>
      <c r="U110" s="2"/>
      <c r="V110" s="2"/>
      <c r="W110" s="3"/>
    </row>
    <row r="111">
      <c r="N111" s="65" t="s">
        <v>194</v>
      </c>
      <c r="O111" s="135">
        <v>-16.14</v>
      </c>
      <c r="P111" s="135">
        <v>-24.83</v>
      </c>
      <c r="Q111" s="135">
        <v>-27.94</v>
      </c>
      <c r="R111" s="136">
        <v>-31.56</v>
      </c>
      <c r="S111" s="65" t="s">
        <v>194</v>
      </c>
      <c r="T111" s="135">
        <v>0.0</v>
      </c>
      <c r="U111" s="135">
        <v>-10.69</v>
      </c>
      <c r="V111" s="135">
        <v>-14.38</v>
      </c>
      <c r="W111" s="136">
        <v>-18.68</v>
      </c>
    </row>
    <row r="112">
      <c r="N112" s="65" t="s">
        <v>140</v>
      </c>
      <c r="O112" s="135">
        <v>-12.93</v>
      </c>
      <c r="P112" s="135">
        <v>-22.03</v>
      </c>
      <c r="Q112" s="135">
        <v>-25.25</v>
      </c>
      <c r="R112" s="136">
        <v>-29.0</v>
      </c>
      <c r="S112" s="65" t="s">
        <v>140</v>
      </c>
      <c r="T112" s="135">
        <v>3.78</v>
      </c>
      <c r="U112" s="135">
        <v>-7.38</v>
      </c>
      <c r="V112" s="135">
        <v>-11.21</v>
      </c>
      <c r="W112" s="136">
        <v>-15.67</v>
      </c>
    </row>
    <row r="113">
      <c r="K113" s="59"/>
      <c r="N113" s="65" t="s">
        <v>146</v>
      </c>
      <c r="O113" s="135">
        <v>-11.72</v>
      </c>
      <c r="P113" s="135">
        <v>-20.96</v>
      </c>
      <c r="Q113" s="135">
        <v>-24.23</v>
      </c>
      <c r="R113" s="136">
        <v>-28.03</v>
      </c>
      <c r="S113" s="65" t="s">
        <v>146</v>
      </c>
      <c r="T113" s="135">
        <v>5.21</v>
      </c>
      <c r="U113" s="135">
        <v>-6.13</v>
      </c>
      <c r="V113" s="135">
        <v>-10.0</v>
      </c>
      <c r="W113" s="136">
        <v>-14.53</v>
      </c>
    </row>
    <row r="114">
      <c r="N114" s="65" t="s">
        <v>195</v>
      </c>
      <c r="O114" s="135">
        <v>-7.49</v>
      </c>
      <c r="P114" s="135">
        <v>-17.26</v>
      </c>
      <c r="Q114" s="135">
        <v>-20.67</v>
      </c>
      <c r="R114" s="136">
        <v>-24.66</v>
      </c>
      <c r="S114" s="65" t="s">
        <v>195</v>
      </c>
      <c r="T114" s="135">
        <v>10.2</v>
      </c>
      <c r="U114" s="135">
        <v>-1.76</v>
      </c>
      <c r="V114" s="135">
        <v>-5.81</v>
      </c>
      <c r="W114" s="136">
        <v>-10.55</v>
      </c>
    </row>
    <row r="115">
      <c r="N115" s="79" t="s">
        <v>196</v>
      </c>
      <c r="O115" s="137">
        <v>-0.9</v>
      </c>
      <c r="P115" s="137">
        <v>-11.56</v>
      </c>
      <c r="Q115" s="137">
        <v>-14.98</v>
      </c>
      <c r="R115" s="138">
        <v>-18.97</v>
      </c>
      <c r="S115" s="79" t="s">
        <v>196</v>
      </c>
      <c r="T115" s="137">
        <v>18.05</v>
      </c>
      <c r="U115" s="137">
        <v>5.01</v>
      </c>
      <c r="V115" s="137">
        <v>0.95</v>
      </c>
      <c r="W115" s="138">
        <v>-3.78</v>
      </c>
    </row>
    <row r="116">
      <c r="K116" s="139"/>
      <c r="N116" s="133" t="s">
        <v>198</v>
      </c>
      <c r="O116" s="2"/>
      <c r="P116" s="2"/>
      <c r="Q116" s="2"/>
      <c r="R116" s="2"/>
      <c r="S116" s="2"/>
      <c r="T116" s="2"/>
      <c r="U116" s="2"/>
      <c r="V116" s="2"/>
      <c r="W116" s="3"/>
    </row>
    <row r="117">
      <c r="N117" s="134" t="s">
        <v>193</v>
      </c>
      <c r="O117" s="2"/>
      <c r="P117" s="2"/>
      <c r="Q117" s="2"/>
      <c r="R117" s="2"/>
      <c r="S117" s="2"/>
      <c r="T117" s="2"/>
      <c r="U117" s="2"/>
      <c r="V117" s="2"/>
      <c r="W117" s="3"/>
    </row>
    <row r="118">
      <c r="N118" s="65" t="s">
        <v>194</v>
      </c>
      <c r="O118" s="135">
        <v>-1.13</v>
      </c>
      <c r="P118" s="135">
        <v>-12.85</v>
      </c>
      <c r="Q118" s="135">
        <v>-16.45</v>
      </c>
      <c r="R118" s="136">
        <v>-20.65</v>
      </c>
      <c r="S118" s="65" t="s">
        <v>194</v>
      </c>
      <c r="T118" s="135">
        <v>13.77</v>
      </c>
      <c r="U118" s="135">
        <v>0.0</v>
      </c>
      <c r="V118" s="135">
        <v>-4.13</v>
      </c>
      <c r="W118" s="136">
        <v>-8.95</v>
      </c>
    </row>
    <row r="119">
      <c r="K119" s="67"/>
      <c r="M119" s="140"/>
      <c r="N119" s="65" t="s">
        <v>140</v>
      </c>
      <c r="O119" s="135">
        <v>2.7</v>
      </c>
      <c r="P119" s="135">
        <v>-9.55</v>
      </c>
      <c r="Q119" s="135">
        <v>-13.29</v>
      </c>
      <c r="R119" s="136">
        <v>-17.65</v>
      </c>
      <c r="S119" s="65" t="s">
        <v>140</v>
      </c>
      <c r="T119" s="135">
        <v>18.12</v>
      </c>
      <c r="U119" s="135">
        <v>3.76</v>
      </c>
      <c r="V119" s="135">
        <v>-0.52</v>
      </c>
      <c r="W119" s="136">
        <v>-5.52</v>
      </c>
    </row>
    <row r="120">
      <c r="M120" s="140"/>
      <c r="N120" s="65" t="s">
        <v>146</v>
      </c>
      <c r="O120" s="135">
        <v>4.15</v>
      </c>
      <c r="P120" s="135">
        <v>-8.3</v>
      </c>
      <c r="Q120" s="135">
        <v>-12.08</v>
      </c>
      <c r="R120" s="136">
        <v>-16.5</v>
      </c>
      <c r="S120" s="65" t="s">
        <v>146</v>
      </c>
      <c r="T120" s="135">
        <v>19.78</v>
      </c>
      <c r="U120" s="135">
        <v>5.19</v>
      </c>
      <c r="V120" s="135">
        <v>0.85</v>
      </c>
      <c r="W120" s="136">
        <v>-4.22</v>
      </c>
    </row>
    <row r="121">
      <c r="K121" s="67"/>
      <c r="N121" s="65" t="s">
        <v>195</v>
      </c>
      <c r="O121" s="135">
        <v>9.21</v>
      </c>
      <c r="P121" s="135">
        <v>-3.94</v>
      </c>
      <c r="Q121" s="135">
        <v>-7.9</v>
      </c>
      <c r="R121" s="136">
        <v>-12.53</v>
      </c>
      <c r="S121" s="65" t="s">
        <v>195</v>
      </c>
      <c r="T121" s="135">
        <v>25.53</v>
      </c>
      <c r="U121" s="135">
        <v>10.16</v>
      </c>
      <c r="V121" s="135">
        <v>5.61</v>
      </c>
      <c r="W121" s="136">
        <v>0.3</v>
      </c>
    </row>
    <row r="122">
      <c r="N122" s="65" t="s">
        <v>196</v>
      </c>
      <c r="O122" s="135">
        <v>16.99</v>
      </c>
      <c r="P122" s="135">
        <v>2.67</v>
      </c>
      <c r="Q122" s="135">
        <v>-1.29</v>
      </c>
      <c r="R122" s="136">
        <v>-5.92</v>
      </c>
      <c r="S122" s="65" t="s">
        <v>196</v>
      </c>
      <c r="T122" s="135">
        <v>34.48</v>
      </c>
      <c r="U122" s="135">
        <v>17.74</v>
      </c>
      <c r="V122" s="135">
        <v>13.19</v>
      </c>
      <c r="W122" s="136">
        <v>7.88</v>
      </c>
    </row>
    <row r="123">
      <c r="N123" s="134" t="s">
        <v>197</v>
      </c>
      <c r="O123" s="2"/>
      <c r="P123" s="2"/>
      <c r="Q123" s="2"/>
      <c r="R123" s="2"/>
      <c r="S123" s="2"/>
      <c r="T123" s="2"/>
      <c r="U123" s="2"/>
      <c r="V123" s="2"/>
      <c r="W123" s="3"/>
    </row>
    <row r="124">
      <c r="N124" s="65" t="s">
        <v>194</v>
      </c>
      <c r="O124" s="135">
        <v>6.24</v>
      </c>
      <c r="P124" s="135">
        <v>-5.23</v>
      </c>
      <c r="Q124" s="135">
        <v>-9.14</v>
      </c>
      <c r="R124" s="136">
        <v>-13.71</v>
      </c>
      <c r="S124" s="65" t="s">
        <v>194</v>
      </c>
      <c r="T124" s="135">
        <v>22.37</v>
      </c>
      <c r="U124" s="135">
        <v>8.91</v>
      </c>
      <c r="V124" s="135">
        <v>4.41</v>
      </c>
      <c r="W124" s="136">
        <v>-0.83</v>
      </c>
    </row>
    <row r="125">
      <c r="N125" s="65" t="s">
        <v>140</v>
      </c>
      <c r="O125" s="135">
        <v>10.38</v>
      </c>
      <c r="P125" s="135">
        <v>-1.6</v>
      </c>
      <c r="Q125" s="135">
        <v>-5.66</v>
      </c>
      <c r="R125" s="136">
        <v>-10.4</v>
      </c>
      <c r="S125" s="65" t="s">
        <v>140</v>
      </c>
      <c r="T125" s="135">
        <v>27.09</v>
      </c>
      <c r="U125" s="135">
        <v>13.05</v>
      </c>
      <c r="V125" s="135">
        <v>8.38</v>
      </c>
      <c r="W125" s="136">
        <v>2.93</v>
      </c>
    </row>
    <row r="126">
      <c r="N126" s="65" t="s">
        <v>146</v>
      </c>
      <c r="O126" s="135">
        <v>11.96</v>
      </c>
      <c r="P126" s="135">
        <v>-0.22</v>
      </c>
      <c r="Q126" s="135">
        <v>-4.34</v>
      </c>
      <c r="R126" s="136">
        <v>-9.14</v>
      </c>
      <c r="S126" s="65" t="s">
        <v>146</v>
      </c>
      <c r="T126" s="135">
        <v>28.89</v>
      </c>
      <c r="U126" s="135">
        <v>14.62</v>
      </c>
      <c r="V126" s="135">
        <v>9.89</v>
      </c>
      <c r="W126" s="136">
        <v>4.36</v>
      </c>
    </row>
    <row r="127">
      <c r="N127" s="65" t="s">
        <v>195</v>
      </c>
      <c r="O127" s="135">
        <v>17.43</v>
      </c>
      <c r="P127" s="135">
        <v>4.58</v>
      </c>
      <c r="Q127" s="135">
        <v>0.26</v>
      </c>
      <c r="R127" s="136">
        <v>-4.78</v>
      </c>
      <c r="S127" s="65" t="s">
        <v>195</v>
      </c>
      <c r="T127" s="135">
        <v>35.12</v>
      </c>
      <c r="U127" s="135">
        <v>20.08</v>
      </c>
      <c r="V127" s="135">
        <v>15.12</v>
      </c>
      <c r="W127" s="136">
        <v>9.34</v>
      </c>
    </row>
    <row r="128">
      <c r="N128" s="79" t="s">
        <v>196</v>
      </c>
      <c r="O128" s="137">
        <v>25.8</v>
      </c>
      <c r="P128" s="137">
        <v>11.78</v>
      </c>
      <c r="Q128" s="137">
        <v>7.46</v>
      </c>
      <c r="R128" s="138">
        <v>2.42</v>
      </c>
      <c r="S128" s="79" t="s">
        <v>196</v>
      </c>
      <c r="T128" s="137">
        <v>44.75</v>
      </c>
      <c r="U128" s="137">
        <v>28.35</v>
      </c>
      <c r="V128" s="137">
        <v>23.39</v>
      </c>
      <c r="W128" s="138">
        <v>17.6</v>
      </c>
    </row>
  </sheetData>
  <mergeCells count="14">
    <mergeCell ref="N101:W101"/>
    <mergeCell ref="N103:W103"/>
    <mergeCell ref="N104:W104"/>
    <mergeCell ref="N110:W110"/>
    <mergeCell ref="N116:W116"/>
    <mergeCell ref="N117:W117"/>
    <mergeCell ref="N123:W123"/>
    <mergeCell ref="G1:H1"/>
    <mergeCell ref="K1:L1"/>
    <mergeCell ref="A22:B22"/>
    <mergeCell ref="A29:B29"/>
    <mergeCell ref="A44:B44"/>
    <mergeCell ref="K101:M101"/>
    <mergeCell ref="K102:M102"/>
  </mergeCells>
  <conditionalFormatting sqref="O105:R109 T105:W109 O111:R115 T111:W115 O118:R122 T118:W122 O124:R128 T124:W128">
    <cfRule type="colorScale" priority="1">
      <colorScale>
        <cfvo type="min"/>
        <cfvo type="formula" val="0"/>
        <cfvo type="max"/>
        <color rgb="FFEA9999"/>
        <color rgb="FFFFFFFF"/>
        <color rgb="FF57BB8A"/>
      </colorScale>
    </cfRule>
  </conditionalFormatting>
  <dataValidations>
    <dataValidation type="list" allowBlank="1" showErrorMessage="1" sqref="D17">
      <formula1>"Whereabouts Should Dreams Rest,Whereabouts Should Dreams Rest S5,Fall of An Aeon,Indelible S5,Indelible S1"</formula1>
    </dataValidation>
    <dataValidation type="list" allowBlank="1" showErrorMessage="1" sqref="F17">
      <formula1>"Spd,Atk"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109</v>
      </c>
      <c r="B1" s="7" t="s">
        <v>199</v>
      </c>
      <c r="D1" s="58" t="s">
        <v>109</v>
      </c>
      <c r="E1" s="7" t="s">
        <v>200</v>
      </c>
      <c r="G1" s="58" t="s">
        <v>109</v>
      </c>
      <c r="H1" s="7" t="s">
        <v>201</v>
      </c>
      <c r="J1" s="58" t="s">
        <v>109</v>
      </c>
      <c r="K1" s="7" t="s">
        <v>202</v>
      </c>
    </row>
    <row r="2">
      <c r="A2" s="68"/>
      <c r="B2" s="58" t="s">
        <v>203</v>
      </c>
      <c r="C2" s="58">
        <f>4235+(1275*1.48)</f>
        <v>6122</v>
      </c>
      <c r="D2" s="68"/>
      <c r="E2" s="58" t="s">
        <v>203</v>
      </c>
      <c r="F2" s="68">
        <f>SUM(B85:B86)+(SUM(B85:B86)*SUM(C85:C87)%)+352+21+59+C6</f>
        <v>4393.16</v>
      </c>
      <c r="G2" s="58" t="s">
        <v>204</v>
      </c>
      <c r="H2" s="58" t="s">
        <v>203</v>
      </c>
      <c r="I2" s="58">
        <f>SUM(A77:A78)+(SUM(A77:A78)*SUM(B77:C80))+D77+C6</f>
        <v>5078.316</v>
      </c>
      <c r="J2" s="68"/>
      <c r="K2" s="58" t="s">
        <v>205</v>
      </c>
      <c r="L2" s="58">
        <f>'Chicken Scratches'!E20</f>
        <v>4030.02</v>
      </c>
    </row>
    <row r="3">
      <c r="A3" s="58" t="s">
        <v>206</v>
      </c>
      <c r="B3" s="58" t="s">
        <v>207</v>
      </c>
      <c r="C3" s="58">
        <v>126.0</v>
      </c>
      <c r="D3" s="58" t="s">
        <v>206</v>
      </c>
      <c r="E3" s="58" t="s">
        <v>207</v>
      </c>
      <c r="F3" s="68">
        <f>B94*(1+C94)+D94</f>
        <v>154.32</v>
      </c>
      <c r="G3" s="58" t="s">
        <v>206</v>
      </c>
      <c r="H3" s="58" t="s">
        <v>207</v>
      </c>
      <c r="I3" s="58">
        <f>112+13.4+IF(G6=TRUE,112*10.8%,0)+(112*C12)+IF(G10=FALSE,25,0)</f>
        <v>162.496</v>
      </c>
      <c r="J3" s="58" t="s">
        <v>206</v>
      </c>
      <c r="K3" s="58" t="s">
        <v>207</v>
      </c>
      <c r="L3" s="68">
        <f>106+15</f>
        <v>121</v>
      </c>
    </row>
    <row r="4">
      <c r="A4" s="58">
        <v>1.0</v>
      </c>
      <c r="B4" s="58" t="s">
        <v>208</v>
      </c>
      <c r="C4" s="85">
        <f>C10+30%+38.8%</f>
        <v>1.188</v>
      </c>
      <c r="D4" s="58">
        <v>6.0</v>
      </c>
      <c r="E4" s="58" t="s">
        <v>209</v>
      </c>
      <c r="F4" s="68">
        <f>SUM(B90:D91)+11</f>
        <v>89.2</v>
      </c>
      <c r="G4" s="58">
        <v>0.0</v>
      </c>
      <c r="H4" s="58" t="s">
        <v>209</v>
      </c>
      <c r="I4" s="58">
        <f>5+8.7+8.7+12.3+14.9+11.3+12+16-IF(G2="Stellar Sea S5",0,1)</f>
        <v>87.9</v>
      </c>
      <c r="J4" s="58">
        <v>0.0</v>
      </c>
      <c r="K4" s="58" t="s">
        <v>209</v>
      </c>
      <c r="L4" s="67">
        <f>(48+14)%</f>
        <v>0.62</v>
      </c>
    </row>
    <row r="5">
      <c r="B5" s="7" t="s">
        <v>210</v>
      </c>
      <c r="D5" s="58" t="s">
        <v>211</v>
      </c>
      <c r="E5" s="58" t="s">
        <v>212</v>
      </c>
      <c r="F5" s="67">
        <f>(50+24+C8+69+IF(D4=6,50,0)+IF(J6=TRUE,15,0))%</f>
        <v>2.082</v>
      </c>
      <c r="G5" s="58" t="s">
        <v>211</v>
      </c>
      <c r="H5" s="58" t="s">
        <v>212</v>
      </c>
      <c r="I5" s="67">
        <f>(50+5.1+64.8+11+25+36)%+C8+IF(J6=TRUE,15%,0%)</f>
        <v>2.269</v>
      </c>
      <c r="J5" s="58" t="s">
        <v>213</v>
      </c>
      <c r="K5" s="58" t="s">
        <v>212</v>
      </c>
      <c r="L5" s="85">
        <f>178.3%+C8+IF(J6=TRUE,15%,0%)+40%+25%</f>
        <v>2.783</v>
      </c>
    </row>
    <row r="6">
      <c r="B6" s="58" t="s">
        <v>214</v>
      </c>
      <c r="C6" s="68">
        <f>(C2*0.228)+200</f>
        <v>1595.816</v>
      </c>
      <c r="D6" s="58" t="b">
        <v>1</v>
      </c>
      <c r="E6" s="58" t="s">
        <v>215</v>
      </c>
      <c r="F6" s="67">
        <f>F5+C9</f>
        <v>2.332</v>
      </c>
      <c r="G6" s="58" t="b">
        <f>D6</f>
        <v>1</v>
      </c>
      <c r="H6" s="58" t="s">
        <v>215</v>
      </c>
      <c r="I6" s="67">
        <f>I5+C9</f>
        <v>2.519</v>
      </c>
      <c r="J6" s="58" t="b">
        <v>1</v>
      </c>
      <c r="K6" s="58" t="s">
        <v>215</v>
      </c>
      <c r="L6" s="67">
        <f>L5+C9</f>
        <v>3.033</v>
      </c>
    </row>
    <row r="7">
      <c r="B7" s="58" t="s">
        <v>216</v>
      </c>
      <c r="C7" s="114">
        <f>(120%*(C2+C6))*((80+20)/((82+20)*(1-0)+80+20))*(1+C4)*(1-(-C11))*(1+150%+IF(J6=TRUE,15%,0%))</f>
        <v>32963.94446</v>
      </c>
      <c r="E7" s="58" t="s">
        <v>217</v>
      </c>
      <c r="F7" s="67">
        <f>SUM(B101:D103)%-IF(D4&lt;3,80%,72%)-30%</f>
        <v>1.268</v>
      </c>
      <c r="G7" s="58" t="s">
        <v>218</v>
      </c>
      <c r="H7" s="58" t="s">
        <v>217</v>
      </c>
      <c r="I7" s="67">
        <f>38.8%+C10+60%</f>
        <v>1.488</v>
      </c>
      <c r="K7" s="58" t="s">
        <v>217</v>
      </c>
      <c r="L7" s="67">
        <f>14.4%+C10+10%+12%</f>
        <v>0.864</v>
      </c>
    </row>
    <row r="8">
      <c r="B8" s="58" t="s">
        <v>219</v>
      </c>
      <c r="C8" s="85">
        <v>0.2</v>
      </c>
      <c r="E8" s="58" t="s">
        <v>220</v>
      </c>
      <c r="F8" s="67">
        <f>SUM(B101:D103)%-IF(D4&lt;3,80%,72%)</f>
        <v>1.568</v>
      </c>
      <c r="G8" s="58">
        <v>0.0</v>
      </c>
      <c r="H8" s="58" t="s">
        <v>221</v>
      </c>
      <c r="I8" s="67">
        <f>I7+25%+36%</f>
        <v>2.098</v>
      </c>
      <c r="K8" s="58" t="s">
        <v>221</v>
      </c>
      <c r="L8" s="67">
        <f>14.4%+C10+10%+25%+12%+15%</f>
        <v>1.264</v>
      </c>
    </row>
    <row r="9">
      <c r="B9" s="58" t="s">
        <v>222</v>
      </c>
      <c r="C9" s="85">
        <v>0.25</v>
      </c>
      <c r="E9" s="58" t="s">
        <v>223</v>
      </c>
      <c r="F9" s="67">
        <f>F8+80%+IF(D4&gt;=5,8%,0)</f>
        <v>2.448</v>
      </c>
      <c r="G9" s="58" t="s">
        <v>116</v>
      </c>
      <c r="H9" s="58" t="s">
        <v>224</v>
      </c>
      <c r="I9" s="67">
        <f>I7+36%+25%</f>
        <v>2.098</v>
      </c>
    </row>
    <row r="10">
      <c r="B10" s="58" t="s">
        <v>134</v>
      </c>
      <c r="C10" s="85">
        <v>0.5</v>
      </c>
      <c r="G10" s="58" t="b">
        <v>0</v>
      </c>
      <c r="H10" s="58" t="s">
        <v>225</v>
      </c>
      <c r="I10" s="85">
        <f>IFS(G2="Stellar Sea S5",0%,G2="Venture Forth",54%)</f>
        <v>0.54</v>
      </c>
    </row>
    <row r="11">
      <c r="B11" s="58" t="s">
        <v>226</v>
      </c>
      <c r="C11" s="59">
        <f>0%+IF(A4&gt;=1,24%,0%)+IF(J4&gt;=2,12%,0%)</f>
        <v>0.24</v>
      </c>
    </row>
    <row r="12">
      <c r="B12" s="58" t="s">
        <v>227</v>
      </c>
      <c r="C12" s="59">
        <f>0%+IF(A4&gt;=2,16%,0%)</f>
        <v>0</v>
      </c>
    </row>
    <row r="16">
      <c r="A16" s="141" t="str">
        <f>"DPS Contribution: " &amp; ROUNDDOWN(SUM(B21:D25, B17))</f>
        <v>DPS Contribution: 1592750</v>
      </c>
      <c r="B16" s="2"/>
      <c r="C16" s="2"/>
      <c r="D16" s="3"/>
    </row>
    <row r="17">
      <c r="A17" s="65" t="s">
        <v>228</v>
      </c>
      <c r="B17" s="114">
        <f>SUM(B19:D20)*C7</f>
        <v>527423.1114</v>
      </c>
      <c r="C17" s="142" t="s">
        <v>229</v>
      </c>
      <c r="D17" s="143">
        <f>2*SUM(B19:D20)*(1.24)</f>
        <v>39.68</v>
      </c>
    </row>
    <row r="18">
      <c r="A18" s="144"/>
      <c r="B18" s="145" t="s">
        <v>230</v>
      </c>
      <c r="C18" s="72" t="s">
        <v>231</v>
      </c>
      <c r="D18" s="146" t="s">
        <v>232</v>
      </c>
    </row>
    <row r="19">
      <c r="A19" s="65" t="s">
        <v>233</v>
      </c>
      <c r="B19" s="68">
        <f>ROUNDDOWN(F3/90)+2</f>
        <v>3</v>
      </c>
      <c r="C19" s="68">
        <f>ROUNDDOWN(I3/90)+1</f>
        <v>2</v>
      </c>
      <c r="D19" s="66">
        <f>ROUNDDOWN(L3/90)+1</f>
        <v>2</v>
      </c>
    </row>
    <row r="20">
      <c r="A20" s="65" t="s">
        <v>234</v>
      </c>
      <c r="B20" s="58">
        <v>3.0</v>
      </c>
      <c r="C20" s="58">
        <f>2*C19</f>
        <v>4</v>
      </c>
      <c r="D20" s="115">
        <v>2.0</v>
      </c>
    </row>
    <row r="21">
      <c r="A21" s="65" t="s">
        <v>184</v>
      </c>
      <c r="B21" s="114">
        <f>((IF(D4&lt;3,100,110))%*(F2+C6))*(1+F8)*((80+20)/((82+20)*(1-0)+80+20))*(1-(-C11))*(1+F5)</f>
        <v>32006.87158</v>
      </c>
      <c r="C21" s="147"/>
      <c r="D21" s="148">
        <f>(100%*(L2))*((80+20)/((82+20)*(1-0)+80+20))*(1+L7)*(1-(-C11))*(1+L5+IF(J6=TRUE,15%,0%))</f>
        <v>18136.2449</v>
      </c>
    </row>
    <row r="22">
      <c r="A22" s="65" t="s">
        <v>235</v>
      </c>
      <c r="B22" s="114">
        <f>(((IF(D4&lt;3,80,88)+20)%*(F2+C6))*(1+F9)*((80+20)/((82+20)*(1-0)+80+20))*(1-(-C11))*(1+F5) + 
(20%*(F2+C6))*(1+F9)*((80+20)/((82+20)*(1-0)+80+20))*(1+F5))*8</f>
        <v>387959.2727</v>
      </c>
      <c r="D22" s="149"/>
      <c r="E22" s="67">
        <f>(C24-124220)/124220</f>
        <v>1.700172745</v>
      </c>
    </row>
    <row r="23">
      <c r="A23" s="65" t="s">
        <v>172</v>
      </c>
      <c r="B23" s="147"/>
      <c r="C23" s="114">
        <f>(200%*(I2+C6))*((80+20)/((82+20)*(1-0)+80+20))*(1+I7)*(1-(-C11))*(1+I5+IF(J6=TRUE,15%,0%))</f>
        <v>69701.89412</v>
      </c>
      <c r="D23" s="150"/>
    </row>
    <row r="24">
      <c r="A24" s="65" t="s">
        <v>170</v>
      </c>
      <c r="B24" s="114">
        <f>((IF(D4&lt;5,259,250))%*(F2+C6))*(1+F7)*((80+20)/((82+20)*(1-0)+80+20))*(1-(-C11))*(1+F5)</f>
        <v>64244.88879</v>
      </c>
      <c r="C24" s="151">
        <f>(90%*(I2+C6))*((80+20)/((82+20)*(1-I10)+80+20))*(1+I7)*(1-(-C11))*(1+I5+IF(J6=TRUE,15%,0%))*0.9*G8 + 
(90%*(I2+C6))*((80+20)/((82+20)*(1-I10)+80+20))*(1+I7)*(1-(-C11))*(1+I5+IF(J6=TRUE,15%,0%))*(6-G8) +
(160%*(I2+C6))*((80+20)/((82+20)*(1-I10)+80+20))*(1+I7)*(1-(-C11))*(1+I5+IF(J6=TRUE,15%,0%))</f>
        <v>335415.4583</v>
      </c>
      <c r="D24" s="148">
        <f>(270%*(L2))*((80+20)/((82+20)*(1-0)+80+20))*(1+L7)*(1-(-C11))*(1+L5+IF(J6=TRUE,15%,0%))</f>
        <v>48967.86123</v>
      </c>
    </row>
    <row r="25">
      <c r="A25" s="79" t="s">
        <v>234</v>
      </c>
      <c r="B25" s="152">
        <f>(60%*(F2+C6))*(1+F7)*((80+20)/((82+20)*(1-0)+80+20))*(1-(-C11))*(1+F6)</f>
        <v>16669.48497</v>
      </c>
      <c r="C25" s="152">
        <f>(110%*(I2+C6))*((80+20)/((82+20)*(1-0)+80+20))*(1+I8)*(1-(-C11))*(1+I6+IF(J6=TRUE,15%,0%))</f>
        <v>51225.58395</v>
      </c>
      <c r="D25" s="153">
        <f>(25%*(L2))*((80+20)/((82+20)*(1-0)+80+20))*(1+L8)*(1-(-C11))*(1+L6+IF(J6=TRUE,15%,0%))*7</f>
        <v>40999.62202</v>
      </c>
    </row>
    <row r="76">
      <c r="E76" s="68">
        <f>SUM(A77:A78)+(SUM(A77:A78)*SUM(B77:C80))+D77+C6</f>
        <v>5078.316</v>
      </c>
    </row>
    <row r="77">
      <c r="A77" s="58">
        <v>602.0</v>
      </c>
      <c r="B77" s="59">
        <v>0.12</v>
      </c>
      <c r="C77" s="85">
        <v>0.034</v>
      </c>
      <c r="D77" s="68">
        <f>352+38</f>
        <v>390</v>
      </c>
    </row>
    <row r="78">
      <c r="A78" s="58">
        <f>IFS(G2="Stellar Sea S5",529,G2="Venture Forth",635)</f>
        <v>635</v>
      </c>
      <c r="B78" s="59">
        <v>0.48</v>
      </c>
      <c r="C78" s="85">
        <v>0.073</v>
      </c>
    </row>
    <row r="79">
      <c r="B79" s="85">
        <f>43.2%*IF(G10=TRUE,2,1)</f>
        <v>0.432</v>
      </c>
      <c r="C79" s="85">
        <v>0.038</v>
      </c>
    </row>
    <row r="80">
      <c r="B80" s="59">
        <v>0.28</v>
      </c>
      <c r="C80" s="85">
        <v>0.043</v>
      </c>
    </row>
    <row r="84">
      <c r="A84" s="58" t="s">
        <v>236</v>
      </c>
    </row>
    <row r="85">
      <c r="A85" s="58" t="s">
        <v>116</v>
      </c>
      <c r="B85" s="58">
        <v>564.0</v>
      </c>
      <c r="C85" s="58">
        <v>12.0</v>
      </c>
    </row>
    <row r="86">
      <c r="B86" s="58">
        <v>582.0</v>
      </c>
      <c r="C86" s="68">
        <f>4.3+7.7+11.2+43.2</f>
        <v>66.4</v>
      </c>
    </row>
    <row r="87">
      <c r="C87" s="58">
        <v>28.0</v>
      </c>
    </row>
    <row r="89">
      <c r="A89" s="58" t="s">
        <v>209</v>
      </c>
    </row>
    <row r="90">
      <c r="B90" s="58">
        <f>5+32.4</f>
        <v>37.4</v>
      </c>
      <c r="C90" s="58">
        <v>8.0</v>
      </c>
      <c r="D90" s="68">
        <f>5.8+9</f>
        <v>14.8</v>
      </c>
    </row>
    <row r="91">
      <c r="C91" s="58">
        <v>18.0</v>
      </c>
    </row>
    <row r="93">
      <c r="A93" s="58" t="s">
        <v>207</v>
      </c>
    </row>
    <row r="94">
      <c r="B94" s="58">
        <v>102.0</v>
      </c>
      <c r="C94" s="59">
        <v>0.16</v>
      </c>
      <c r="D94" s="58">
        <f>25+9+2</f>
        <v>36</v>
      </c>
    </row>
    <row r="96">
      <c r="A96" s="58" t="s">
        <v>212</v>
      </c>
    </row>
    <row r="97">
      <c r="B97" s="68">
        <f>50</f>
        <v>50</v>
      </c>
      <c r="C97" s="154">
        <v>50.0</v>
      </c>
      <c r="D97" s="58">
        <f>22.6+5.1+12.3+17.4+11.6</f>
        <v>69</v>
      </c>
    </row>
    <row r="98">
      <c r="B98" s="58">
        <v>24.0</v>
      </c>
      <c r="C98" s="58">
        <v>20.0</v>
      </c>
    </row>
    <row r="100">
      <c r="A100" s="58" t="s">
        <v>208</v>
      </c>
    </row>
    <row r="101">
      <c r="B101" s="58">
        <v>38.8</v>
      </c>
      <c r="C101" s="58">
        <v>20.0</v>
      </c>
      <c r="D101" s="58">
        <v>50.0</v>
      </c>
    </row>
    <row r="102">
      <c r="B102" s="68">
        <f>6*5</f>
        <v>30</v>
      </c>
      <c r="C102" s="58">
        <v>10.0</v>
      </c>
    </row>
    <row r="103">
      <c r="B103" s="58">
        <v>80.0</v>
      </c>
    </row>
  </sheetData>
  <mergeCells count="8">
    <mergeCell ref="B1:C1"/>
    <mergeCell ref="E1:F1"/>
    <mergeCell ref="H1:I1"/>
    <mergeCell ref="K1:L1"/>
    <mergeCell ref="B5:C5"/>
    <mergeCell ref="A16:D16"/>
    <mergeCell ref="C21:C22"/>
    <mergeCell ref="D22:D23"/>
  </mergeCells>
  <dataValidations>
    <dataValidation type="list" allowBlank="1" showErrorMessage="1" sqref="A4 D4 G4 J4">
      <formula1>"0,1,2,3,4,5,6"</formula1>
    </dataValidation>
    <dataValidation type="list" allowBlank="1" showErrorMessage="1" sqref="A2 D2 J2">
      <formula1>"Option 1,Option 2"</formula1>
    </dataValidation>
    <dataValidation type="list" allowBlank="1" showErrorMessage="1" sqref="G2">
      <formula1>"Stellar Sea S5,Venture Forth"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237</v>
      </c>
      <c r="F1" s="62" t="s">
        <v>238</v>
      </c>
      <c r="G1" s="3"/>
    </row>
    <row r="2">
      <c r="B2" s="58" t="s">
        <v>203</v>
      </c>
      <c r="C2" s="58" t="s">
        <v>117</v>
      </c>
      <c r="D2" s="58" t="s">
        <v>118</v>
      </c>
      <c r="F2" s="65" t="s">
        <v>119</v>
      </c>
      <c r="G2" s="155">
        <f>B3+B4+(B3+B4)*(SUM(C3:D5))%+352</f>
        <v>3821.258</v>
      </c>
    </row>
    <row r="3">
      <c r="B3" s="156">
        <v>640.0</v>
      </c>
      <c r="C3" s="157">
        <f>28+12</f>
        <v>40</v>
      </c>
      <c r="D3" s="156">
        <v>12.5</v>
      </c>
      <c r="F3" s="65" t="s">
        <v>121</v>
      </c>
      <c r="G3" s="66">
        <f>(B8*(1+(C8+C9)%)+D8)</f>
        <v>151.75</v>
      </c>
    </row>
    <row r="4">
      <c r="B4" s="156">
        <v>582.0</v>
      </c>
      <c r="C4" s="157">
        <f>43.2*IF(F23="Atk",3,2)</f>
        <v>86.4</v>
      </c>
      <c r="D4" s="68">
        <f>12*B28</f>
        <v>0</v>
      </c>
      <c r="F4" s="65" t="s">
        <v>239</v>
      </c>
      <c r="G4" s="75">
        <f>SUM(B20:D21)%</f>
        <v>0.945</v>
      </c>
    </row>
    <row r="5">
      <c r="C5" s="154">
        <f>45+IF(D24=TRUE,40,0)</f>
        <v>45</v>
      </c>
      <c r="F5" s="65" t="s">
        <v>240</v>
      </c>
      <c r="G5" s="76">
        <f>SUM(D16,D17,C17,B16)%</f>
        <v>3.422</v>
      </c>
    </row>
    <row r="6">
      <c r="F6" s="65" t="s">
        <v>241</v>
      </c>
      <c r="G6" s="76">
        <f>SUM(G5,C16%)</f>
        <v>4.142</v>
      </c>
    </row>
    <row r="7">
      <c r="B7" s="58" t="s">
        <v>207</v>
      </c>
      <c r="C7" s="58" t="s">
        <v>117</v>
      </c>
      <c r="D7" s="58" t="s">
        <v>118</v>
      </c>
      <c r="F7" s="65" t="s">
        <v>217</v>
      </c>
      <c r="G7" s="76">
        <f>SUM(B12:D13)%</f>
        <v>2.608</v>
      </c>
    </row>
    <row r="8">
      <c r="B8" s="156">
        <v>115.0</v>
      </c>
      <c r="C8" s="158">
        <f>D23*25</f>
        <v>25</v>
      </c>
      <c r="D8" s="156">
        <v>8.0</v>
      </c>
      <c r="F8" s="65" t="s">
        <v>242</v>
      </c>
      <c r="G8" s="76">
        <f>G7+B13%</f>
        <v>3.356</v>
      </c>
    </row>
    <row r="9">
      <c r="C9" s="159">
        <f>IF(H24=TRUE,12,0)</f>
        <v>0</v>
      </c>
      <c r="F9" s="65" t="s">
        <v>243</v>
      </c>
      <c r="G9" s="76">
        <f>IF(F24=TRUE,'DEF Reduction Sheet'!E10,'DEF Reduction Sheet'!D10)</f>
        <v>0.73</v>
      </c>
    </row>
    <row r="10">
      <c r="F10" s="65" t="s">
        <v>244</v>
      </c>
      <c r="G10" s="160">
        <f>(33+IF(B23=TRUE,20,0))%</f>
        <v>0.53</v>
      </c>
    </row>
    <row r="11">
      <c r="B11" s="58" t="s">
        <v>217</v>
      </c>
      <c r="F11" s="79" t="s">
        <v>245</v>
      </c>
      <c r="G11" s="81">
        <f>IF(B26=TRUE, 12%,0)</f>
        <v>0.12</v>
      </c>
    </row>
    <row r="12">
      <c r="B12" s="158">
        <f>IF(B23=TRUE,10+18+80,10+18)</f>
        <v>108</v>
      </c>
      <c r="C12" s="161">
        <f>(16*3)</f>
        <v>48</v>
      </c>
      <c r="D12" s="162">
        <f>(10*B27)</f>
        <v>30</v>
      </c>
    </row>
    <row r="13">
      <c r="B13" s="158">
        <f>(6*6)+IF(F23="Qua",38.8,0)</f>
        <v>74.8</v>
      </c>
      <c r="C13" s="159">
        <f>IF(B24=TRUE,0,24)</f>
        <v>0</v>
      </c>
      <c r="D13" s="140"/>
      <c r="G13" s="58" t="s">
        <v>246</v>
      </c>
      <c r="H13" s="58" t="s">
        <v>247</v>
      </c>
    </row>
    <row r="14">
      <c r="B14" s="67"/>
      <c r="C14" s="67"/>
      <c r="D14" s="67"/>
      <c r="F14" s="58" t="s">
        <v>184</v>
      </c>
      <c r="G14" s="114">
        <f>(100%*G2)*(1+G7)*((80+20)/((95+20)*(1-G9)+80+20))*(1+G10)*(1+G11)</f>
        <v>18027.90737</v>
      </c>
      <c r="H14" s="114">
        <f>G14*(1+G5)</f>
        <v>79719.40641</v>
      </c>
    </row>
    <row r="15">
      <c r="B15" s="58" t="s">
        <v>248</v>
      </c>
      <c r="F15" s="58" t="s">
        <v>172</v>
      </c>
      <c r="G15" s="114">
        <f>(220%*G2)*(1+G8)*((80+20)/((95+20)*(1-G9)+80+20))*(1+G10)*(1+G11)</f>
        <v>47883.88081</v>
      </c>
      <c r="H15" s="114">
        <f t="shared" ref="H15:H16" si="1">G15*(1+G5)</f>
        <v>211742.5209</v>
      </c>
    </row>
    <row r="16">
      <c r="B16" s="156">
        <v>191.2</v>
      </c>
      <c r="C16" s="163">
        <f>(12*6)</f>
        <v>72</v>
      </c>
      <c r="D16" s="164">
        <f>IF(AND(D25=TRUE,B25=TRUE),30,0)</f>
        <v>30</v>
      </c>
      <c r="F16" s="58" t="s">
        <v>170</v>
      </c>
      <c r="G16" s="114">
        <f>(425%*G2)*(1+G7)*((80+20)/((95+20)*(1-G9)+80+20))*(1+G10)*(1+G11)</f>
        <v>76618.60634</v>
      </c>
      <c r="H16" s="114">
        <f t="shared" si="1"/>
        <v>393972.8738</v>
      </c>
      <c r="I16" s="67"/>
    </row>
    <row r="17">
      <c r="B17" s="165"/>
      <c r="C17" s="166">
        <f>((200*0.24)+45)</f>
        <v>93</v>
      </c>
      <c r="D17" s="154">
        <f>IF(B24=TRUE,28,0)</f>
        <v>28</v>
      </c>
    </row>
    <row r="19">
      <c r="B19" s="58" t="s">
        <v>249</v>
      </c>
    </row>
    <row r="20">
      <c r="B20" s="156">
        <v>72.5</v>
      </c>
      <c r="C20" s="167">
        <f>IF(B25=TRUE,12,0)</f>
        <v>12</v>
      </c>
    </row>
    <row r="21">
      <c r="C21" s="159">
        <f>IF(B24=TRUE,10,0)</f>
        <v>10</v>
      </c>
    </row>
    <row r="23">
      <c r="A23" s="58" t="s">
        <v>250</v>
      </c>
      <c r="B23" s="58" t="b">
        <v>1</v>
      </c>
      <c r="C23" s="58" t="s">
        <v>251</v>
      </c>
      <c r="D23" s="58">
        <v>1.0</v>
      </c>
      <c r="E23" s="58" t="s">
        <v>252</v>
      </c>
      <c r="F23" s="58" t="s">
        <v>253</v>
      </c>
    </row>
    <row r="24">
      <c r="A24" s="58" t="s">
        <v>254</v>
      </c>
      <c r="B24" s="58" t="b">
        <v>1</v>
      </c>
      <c r="C24" s="58" t="s">
        <v>255</v>
      </c>
      <c r="D24" s="58" t="b">
        <v>0</v>
      </c>
      <c r="E24" s="58" t="s">
        <v>105</v>
      </c>
      <c r="F24" s="58" t="b">
        <v>0</v>
      </c>
      <c r="G24" s="58" t="s">
        <v>147</v>
      </c>
      <c r="H24" s="58" t="b">
        <v>0</v>
      </c>
    </row>
    <row r="25">
      <c r="A25" s="58" t="s">
        <v>256</v>
      </c>
      <c r="B25" s="58" t="b">
        <v>1</v>
      </c>
      <c r="C25" s="58" t="s">
        <v>257</v>
      </c>
      <c r="D25" s="58" t="b">
        <v>1</v>
      </c>
    </row>
    <row r="26">
      <c r="A26" s="58" t="s">
        <v>258</v>
      </c>
      <c r="B26" s="58" t="b">
        <v>1</v>
      </c>
    </row>
    <row r="27">
      <c r="A27" s="58" t="s">
        <v>259</v>
      </c>
      <c r="B27" s="58">
        <v>3.0</v>
      </c>
    </row>
    <row r="28">
      <c r="A28" s="58" t="s">
        <v>148</v>
      </c>
      <c r="B28" s="58">
        <v>0.0</v>
      </c>
    </row>
  </sheetData>
  <mergeCells count="1">
    <mergeCell ref="F1:G1"/>
  </mergeCells>
  <dataValidations>
    <dataValidation type="list" allowBlank="1" showErrorMessage="1" sqref="F23">
      <formula1>"Qua,Atk"</formula1>
    </dataValidation>
    <dataValidation type="list" allowBlank="1" showErrorMessage="1" sqref="D23">
      <formula1>"1,2"</formula1>
    </dataValidation>
    <dataValidation type="list" allowBlank="1" showErrorMessage="1" sqref="B27:B28">
      <formula1>"0,1,2,3"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 t="s">
        <v>260</v>
      </c>
      <c r="B1" s="92" t="s">
        <v>261</v>
      </c>
      <c r="C1" s="92" t="s">
        <v>262</v>
      </c>
      <c r="D1" s="92" t="s">
        <v>263</v>
      </c>
      <c r="E1" s="168" t="s">
        <v>264</v>
      </c>
      <c r="G1" s="58" t="s">
        <v>265</v>
      </c>
      <c r="H1" s="58" t="s">
        <v>266</v>
      </c>
      <c r="I1" s="58" t="s">
        <v>267</v>
      </c>
      <c r="K1" s="58" t="s">
        <v>268</v>
      </c>
      <c r="M1" s="58" t="s">
        <v>269</v>
      </c>
      <c r="N1" s="58" t="s">
        <v>180</v>
      </c>
      <c r="O1" s="58" t="s">
        <v>116</v>
      </c>
      <c r="P1" s="58" t="s">
        <v>270</v>
      </c>
    </row>
    <row r="2">
      <c r="A2" s="65" t="s">
        <v>271</v>
      </c>
      <c r="B2" s="67">
        <f>0%+IF(B6="Resolution Shines as Pearls of Sweat S5", 16%,0)</f>
        <v>0</v>
      </c>
      <c r="C2" s="85">
        <f t="shared" ref="C2:C3" si="1">0%</f>
        <v>0</v>
      </c>
      <c r="D2" s="67">
        <f>(15+(5*5))%+IF(B6="Those Many Springs S1", 24%, 0)+IF(B6="Incessant Rain S1", 12%,0)</f>
        <v>0.64</v>
      </c>
      <c r="E2" s="76">
        <f>15%</f>
        <v>0.15</v>
      </c>
      <c r="G2" s="58" t="s">
        <v>116</v>
      </c>
      <c r="H2" s="68">
        <f>1333+2614+IFS(L2=TRUE,(1333*O2),L3=TRUE,(1333*O3),L4=TRUE,(1333*O4),L5=TRUE,O5,L2=FALSE,0)+150</f>
        <v>4363.6</v>
      </c>
      <c r="I2" s="68">
        <f>1333+2286+IFS(L2=TRUE,(1333*O2),L3=TRUE,(1333*O3),L4=TRUE,(1333*O4),L5=TRUE,O5,L2=FALSE,0)</f>
        <v>3885.6</v>
      </c>
      <c r="K2" s="58" t="s">
        <v>272</v>
      </c>
      <c r="L2" s="58" t="b">
        <v>0</v>
      </c>
      <c r="M2" s="67">
        <f>((200*0.16)+20)%</f>
        <v>0.52</v>
      </c>
      <c r="N2" s="85">
        <v>0.76</v>
      </c>
      <c r="O2" s="85">
        <v>0.55</v>
      </c>
      <c r="P2" s="85">
        <v>0.0</v>
      </c>
    </row>
    <row r="3">
      <c r="A3" s="65" t="s">
        <v>273</v>
      </c>
      <c r="B3" s="67">
        <f>42%+IF(B7="Resolution Shines as Pearls of Sweat S5", 16%,0)</f>
        <v>0.58</v>
      </c>
      <c r="C3" s="85">
        <f t="shared" si="1"/>
        <v>0</v>
      </c>
      <c r="D3" s="67">
        <f t="shared" ref="D3:D4" si="2">0%+IF(B7="Those Many Springs S1", 18%, 0)+IF(B7="Incessant Rain S1", 12%,0)</f>
        <v>0</v>
      </c>
      <c r="E3" s="76">
        <f t="shared" ref="E3:E4" si="3">0%</f>
        <v>0</v>
      </c>
      <c r="G3" s="58" t="s">
        <v>123</v>
      </c>
      <c r="H3" s="67">
        <f>(59.2+4+12)%</f>
        <v>0.752</v>
      </c>
      <c r="I3" s="85">
        <f>(42+8+12)%</f>
        <v>0.62</v>
      </c>
      <c r="K3" s="58" t="s">
        <v>274</v>
      </c>
      <c r="L3" s="58" t="b">
        <v>1</v>
      </c>
      <c r="M3" s="67">
        <f>((200*0.24)+45)%</f>
        <v>0.93</v>
      </c>
      <c r="N3" s="85">
        <v>0.48</v>
      </c>
      <c r="O3" s="85">
        <v>0.2</v>
      </c>
      <c r="P3" s="85">
        <v>0.0</v>
      </c>
    </row>
    <row r="4">
      <c r="A4" s="79" t="s">
        <v>275</v>
      </c>
      <c r="B4" s="67">
        <f>(45+8)%+IF(B8="Resolution Shines as Pearls of Sweat S5", 16%,0)</f>
        <v>0.53</v>
      </c>
      <c r="C4" s="169">
        <f>(20+10+3)%</f>
        <v>0.33</v>
      </c>
      <c r="D4" s="67">
        <f t="shared" si="2"/>
        <v>0.12</v>
      </c>
      <c r="E4" s="81">
        <f t="shared" si="3"/>
        <v>0</v>
      </c>
      <c r="G4" s="58" t="s">
        <v>269</v>
      </c>
      <c r="H4" s="67">
        <f>(198+24)%+IFS(L2=TRUE,M2,L3=TRUE,M3,L4=TRUE,M4,L5=TRUE,M5,L2=FALSE,0)</f>
        <v>3.15</v>
      </c>
      <c r="I4" s="67">
        <f>(224.6+24)%+IFS(L2=TRUE,M2,L3=TRUE,M3,L4=TRUE,M4,L5=TRUE,M5,L2=FALSE,0)</f>
        <v>3.416</v>
      </c>
      <c r="K4" s="58" t="s">
        <v>136</v>
      </c>
      <c r="L4" s="58" t="b">
        <v>0</v>
      </c>
      <c r="M4" s="85">
        <v>0.0</v>
      </c>
      <c r="N4" s="85">
        <v>0.68</v>
      </c>
      <c r="O4" s="85">
        <v>0.0</v>
      </c>
      <c r="P4" s="85">
        <v>0.25</v>
      </c>
    </row>
    <row r="5">
      <c r="A5" s="63" t="s">
        <v>276</v>
      </c>
      <c r="B5" s="92"/>
      <c r="C5" s="92"/>
      <c r="D5" s="92"/>
      <c r="E5" s="93"/>
      <c r="G5" s="58" t="s">
        <v>277</v>
      </c>
      <c r="H5" s="67">
        <f>IFS(H8=1,115%,H8=2,160%)+12%+48%+IFS(L2=TRUE,N2,L3=TRUE,N3,L4=TRUE,N4,L5=TRUE,N5,L2=FALSE,0)</f>
        <v>2.68</v>
      </c>
      <c r="I5" s="67">
        <f>160%+12%+48%+38.8%+IFS(L2=TRUE,N2,L3=TRUE,N3,L4=TRUE,N4,L5=TRUE,N5,L2=FALSE,0)</f>
        <v>3.068</v>
      </c>
      <c r="K5" s="58" t="s">
        <v>278</v>
      </c>
      <c r="L5" s="58" t="b">
        <v>0</v>
      </c>
      <c r="M5" s="85">
        <v>0.2</v>
      </c>
      <c r="N5" s="85">
        <v>0.5</v>
      </c>
      <c r="O5" s="58">
        <v>1000.0</v>
      </c>
      <c r="P5" s="85">
        <v>0.0</v>
      </c>
    </row>
    <row r="6">
      <c r="A6" s="65" t="s">
        <v>271</v>
      </c>
      <c r="B6" s="58" t="s">
        <v>279</v>
      </c>
      <c r="E6" s="150"/>
      <c r="G6" s="58" t="s">
        <v>262</v>
      </c>
      <c r="H6" s="85">
        <f>20%+IFS(L2=TRUE,P2,L3=TRUE,P3,L4=TRUE,P4,L5=TRUE,P5,L2=FALSE,0)</f>
        <v>0.2</v>
      </c>
      <c r="I6" s="85">
        <f>42%+IFS(L2=TRUE,P2,L3=TRUE,P3,L4=TRUE,P4,L5=TRUE,P5,L2=FALSE,0)</f>
        <v>0.42</v>
      </c>
      <c r="K6" s="58" t="s">
        <v>280</v>
      </c>
      <c r="L6" s="58" t="b">
        <v>0</v>
      </c>
    </row>
    <row r="7">
      <c r="A7" s="65" t="s">
        <v>273</v>
      </c>
      <c r="B7" s="58" t="s">
        <v>281</v>
      </c>
      <c r="E7" s="150"/>
      <c r="G7" s="58" t="s">
        <v>264</v>
      </c>
      <c r="H7" s="59">
        <v>0.0</v>
      </c>
      <c r="I7" s="59">
        <v>0.08</v>
      </c>
    </row>
    <row r="8">
      <c r="A8" s="79" t="s">
        <v>275</v>
      </c>
      <c r="B8" s="126" t="s">
        <v>282</v>
      </c>
      <c r="C8" s="170"/>
      <c r="D8" s="170"/>
      <c r="E8" s="171"/>
      <c r="G8" s="58" t="s">
        <v>283</v>
      </c>
      <c r="H8" s="58">
        <v>2.0</v>
      </c>
    </row>
    <row r="10">
      <c r="A10" s="172" t="s">
        <v>284</v>
      </c>
      <c r="B10" s="173">
        <v>5.0</v>
      </c>
    </row>
    <row r="11">
      <c r="A11" s="63" t="s">
        <v>266</v>
      </c>
      <c r="B11" s="92" t="s">
        <v>285</v>
      </c>
      <c r="C11" s="92" t="s">
        <v>286</v>
      </c>
      <c r="D11" s="168" t="s">
        <v>287</v>
      </c>
      <c r="E11" s="63" t="s">
        <v>106</v>
      </c>
      <c r="F11" s="92" t="s">
        <v>288</v>
      </c>
      <c r="G11" s="168" t="s">
        <v>273</v>
      </c>
      <c r="K11" s="58" t="s">
        <v>278</v>
      </c>
      <c r="L11" s="58" t="s">
        <v>289</v>
      </c>
      <c r="M11" s="58" t="s">
        <v>232</v>
      </c>
    </row>
    <row r="12">
      <c r="A12" s="65" t="s">
        <v>290</v>
      </c>
      <c r="D12" s="66"/>
      <c r="E12" s="174"/>
      <c r="F12" s="114"/>
      <c r="G12" s="148"/>
      <c r="K12" s="58" t="s">
        <v>136</v>
      </c>
      <c r="M12" s="58" t="s">
        <v>115</v>
      </c>
    </row>
    <row r="13">
      <c r="A13" s="65" t="s">
        <v>291</v>
      </c>
      <c r="B13" s="114">
        <f>((((24+15+20)%*H2)*(1+H5+30%))+(((24+15+40)%*H2)*(1+H5+60%))+(((24+15+60)%*H2)*(1+H5+90%))+(((120)%*H2)*(1+H5+90%)))*(B10-1)*((80+20)/((95+20)*(1-(B3))+80+20))*(1+H6+C3)*(1+D3+E3+H7)</f>
        <v>222582.0868</v>
      </c>
      <c r="C13" s="114">
        <f>((((24+15+20)%*H2)*(1+H5+IF(L6=TRUE,48%,0)+30%))+(((24+15+40)%*H2)*(1+H5+IF(L6=TRUE,48%,0)+60%))+(((24+15+60)%*H2)*(1+H5+IF(L6=TRUE,48%,0)+90%))+(((120)%*H2)*(1+H5+IF(L6=TRUE,48%,0)+90%)))*(B10-1)*((80+20)/((95+20)*(1-(B2))+80+20))*(1+H6+C2)*(1+D2+E2+H7)</f>
        <v>274818.4791</v>
      </c>
      <c r="D13" s="148">
        <f>((((24+15+20)%*H2)*(1+H5+IF(L6=TRUE,48%,0)+30%))+(((24+15+40)%*H2)*(1+H5+IF(L6=TRUE,48%,0)+60%))+(((24+15+60)%*H2)*(1+H5+IF(L6=TRUE,48%,0)+90%))+(((120)%*H2)*(1+H5+IF(L6=TRUE,48%,0)+90%)))*(B10-1)*((80+20)/((95+20)*(1-(B2+B3))+80+20))*(1+H6+C2+C3)*(1+D2+D3+E2+E3+H7)</f>
        <v>398421.9353</v>
      </c>
      <c r="E13" s="174">
        <f>((((24+15+20)%*H2)*(1+H5+30%))+(((24+15+40)%*H2)*(1+H5+60%))+(((24+15+60)%*H2)*(1+H5+90%))+(((120)%*H2)*(1+H5+90%)))*(B10-1)*((80+20)/((95+20)*(1)+80+20))*(1+H6)*(1+H7)</f>
        <v>153529.8766</v>
      </c>
      <c r="F13" s="114">
        <f>((((24+15+20)%*H2)*(1+H5+IF(L6=TRUE,48%,0)+30%))+(((24+15+40)%*H2)*(1+H5+IF(L6=TRUE,48%,0)+60%))+(((24+15+60)%*H2)*(1+H5+IF(L6=TRUE,48%,0)+90%))+(((120)%*H2)*(1+H5+IF(L6=TRUE,48%,0)+90%)))*(B10-1)*((80+20)/((95+20)*(1-(B2))+80+20))*(1+H6+C2)*(1+D2+E2+H7)</f>
        <v>274818.4791</v>
      </c>
      <c r="G13" s="148">
        <f>((((24+15+20)%*H2)*(1+H5+30%))+(((24+15+40)%*H2)*(1+H5+60%))+(((24+15+60)%*H2)*(1+H5+90%))+(((120)%*H2)*(1+H5+90%)))*(B10-1)*((80+20)/((95+20)*(1-(B3))+80+20))*(1+H6+C3)*(1+D3+E3+H7)</f>
        <v>222582.0868</v>
      </c>
      <c r="I13" s="67"/>
      <c r="K13" s="58" t="s">
        <v>274</v>
      </c>
      <c r="M13" s="58" t="s">
        <v>138</v>
      </c>
    </row>
    <row r="14">
      <c r="A14" s="65" t="s">
        <v>292</v>
      </c>
      <c r="B14" s="114">
        <f>((((24+15+20)%*H2)*(1+H5+30%))+(((24+15+40)%*H2)*(1+H5+60%))+(((24+15+60)%*H2)*(1+H5+90%))+(((120)%*H2)*(1+H5+90%)))*((80+20)/((95+20)*(1-(B4+B3))+80+20))*(1+H6+C3+C4)*(1+D3+D4+E3+E4+H7) +
((25)%*H2)*(1+H5+90%)*((80+20)/((95+20)*(1-(B4+B3))+80+20))*(1+H6+C3+C4)*(1+D3+D4+E3+E4+H7)*6</f>
        <v>193717.2765</v>
      </c>
      <c r="C14" s="114">
        <f>((((24+15+20)%*H2)*(1+H5+IF(L6=TRUE,48%,0)+30%))+(((24+15+40)%*H2)*(1+H5+IF(L6=TRUE,48%,0)+60%))+(((24+15+60)%*H2)*(1+H5+IF(L6=TRUE,48%,0)+90%))+(((120)%*H2)*(1+H5+IF(L6=TRUE,48%,0)+90%)))*((80+20)/((95+20)*(1-(B4+B2))+80+20))*(1+H6+C2+C4)*(1+D2+D4+E2+E4+H7) +
((25)%*H2)*(1+H5+IF(L6=TRUE,48%,0)+90%)*((80+20)/((95+20)*(1-(B4+B2))+80+20))*(1+H6+C2+C4)*(1+D2+D4+E2+E4+H7)*6</f>
        <v>187320.3264</v>
      </c>
      <c r="D14" s="148">
        <f>((((24+15+20)%*H2)*(1+H5+IF(L6=TRUE,48%,0)+30%))+(((24+15+40)%*H2)*(1+H5+IF(L6=TRUE,48%,0)+60%))+(((24+15+60)%*H2)*(1+H5+IF(L6=TRUE,48%,0)+90%))+(((120)%*H2)*(1+H5+IF(L6=TRUE,48%,0)+90%)))*((80+20)/((95+20)*(1-(B3+B2))+80+20))*(1+H6+C2+C3)*(1+D2+D3+E2+E3+H7) +
((25)%*H2)*(1+H5+90%)*((80+20)/((95+20)*(1-(B3+B2))+80+20))*(1+H6+C2+C3)*(1+D2+D3+E2+E3+H7)*6</f>
        <v>143025.9814</v>
      </c>
      <c r="E14" s="174">
        <f>((((24+15+20)%*H2)*(1+H5+30%))+(((24+15+40)%*H2)*(1+H5+60%))+(((24+15+60)%*H2)*(1+H5+90%))+(((120)%*H2)*(1+H5+90%)))*((80+20)/((95+20)*(1-(B4))+80+20))*(1+H6+C4)*(1+D4+E4+H7) +
((25)%*H2)*(1+H5+90%)*((80+20)/((95+20)*(1-(B4))+80+20))*(1+H6+C4)*(1+D4+E4+H7)*6</f>
        <v>109842.2857</v>
      </c>
      <c r="F14" s="114">
        <f>((((24+15+20)%*H2)*(1+H5+IF(L6=TRUE,48%,0)+30%))+(((24+15+40)%*H2)*(1+H5+IF(L6=TRUE,48%,0)+60%))+(((24+15+60)%*H2)*(1+H5+IF(L6=TRUE,48%,0)+90%))+(((120)%*H2)*(1+H5+IF(L6=TRUE,48%,0)+90%)))*((80+20)/((95+20)*(1-(B2))+80+20))*(1+H6+C2)*(1+D2+E2+H7) +
((25)%*H2)*(1+H5+IF(L6=TRUE,48%,0)+90%)*((80+20)/((95+20)*(1-(B2))+80+20))*(1+H6+C2)*(1+D2+E2+H7)*6</f>
        <v>98654.66533</v>
      </c>
      <c r="G14" s="148">
        <f>((((24+15+20)%*H2)*(1+H5+30%))+(((24+15+40)%*H2)*(1+H5+60%))+(((24+15+60)%*H2)*(1+H5+90%))+(((120)%*H2)*(1+H5+90%)))*((80+20)/((95+20)*(1-(B3))+80+20))*(1+H6+C3)*(1+D3+E3+H7) +
((25)%*H2)*(1+H5+90%)*((80+20)/((95+20)*(1-(B3))+80+20))*(1+H6+C3)*(1+D3+E3+H7)*6</f>
        <v>79902.78292</v>
      </c>
      <c r="K14" s="58" t="s">
        <v>272</v>
      </c>
      <c r="M14" s="58" t="s">
        <v>293</v>
      </c>
    </row>
    <row r="15">
      <c r="A15" s="65" t="s">
        <v>247</v>
      </c>
      <c r="D15" s="66"/>
      <c r="E15" s="174"/>
      <c r="F15" s="114"/>
      <c r="G15" s="148"/>
      <c r="K15" s="58" t="s">
        <v>230</v>
      </c>
      <c r="M15" s="58" t="s">
        <v>294</v>
      </c>
    </row>
    <row r="16">
      <c r="A16" s="65" t="s">
        <v>291</v>
      </c>
      <c r="B16" s="114">
        <f>((((24+15+20)%*H2)*(1+H5+30%))+(((24+15+40)%*H2)*(1+H5+60%))+(((24+15+60)%*H2)*(1+H5+90%))+(((120)%*H2)*(1+H5+90%)))*(B10-1)*((80+20)/((95+20)*(1-(B3))+80+20))*(1+H6+C3)*(1+D3+E3+H7)*(1+H4)</f>
        <v>923715.6601</v>
      </c>
      <c r="C16" s="114">
        <f>C13*(1+H4)</f>
        <v>1140496.688</v>
      </c>
      <c r="D16" s="148">
        <f>D13*(1+H4)</f>
        <v>1653451.032</v>
      </c>
      <c r="E16" s="174">
        <f>E13*(1+H4)</f>
        <v>637148.9879</v>
      </c>
      <c r="F16" s="114">
        <f>F13*(1+H4)</f>
        <v>1140496.688</v>
      </c>
      <c r="G16" s="148">
        <f>G13*(1+H4)</f>
        <v>923715.6601</v>
      </c>
      <c r="K16" s="58" t="s">
        <v>295</v>
      </c>
      <c r="M16" s="58" t="s">
        <v>296</v>
      </c>
    </row>
    <row r="17">
      <c r="A17" s="79" t="s">
        <v>292</v>
      </c>
      <c r="B17" s="152">
        <f>((((24+15+20)%*H2)*(1+H5+30%))+(((24+15+40)%*H2)*(1+H5+60%))+(((24+15+60)%*H2)*(1+H5+90%))+(((120)%*H2)*(1+H5+90%)))*((80+20)/((95+20)*(1-(B4+B3))+80+20))*(1+H6+C3+C4)*(1+D3+D4+E3+E4+H7)*(1+H4) +
((25)%*H2)*(1+H5+90%)*((80+20)/((95+20)*(1-(B4+B3))+80+20))*(1+H6+C3+C4)*(1+D3+D4+E3+E4+H7)*(1+H4)*6</f>
        <v>803926.6976</v>
      </c>
      <c r="C17" s="152">
        <f>C14*(1+H4)</f>
        <v>777379.3547</v>
      </c>
      <c r="D17" s="153">
        <f>D14*(1*H4)</f>
        <v>450531.8415</v>
      </c>
      <c r="E17" s="175">
        <f>E14*(1+H4)</f>
        <v>455845.4855</v>
      </c>
      <c r="F17" s="152">
        <f>F14*(1+H4)</f>
        <v>409416.8611</v>
      </c>
      <c r="G17" s="153">
        <f>G14*(1+H4)</f>
        <v>331596.5491</v>
      </c>
      <c r="K17" s="58" t="s">
        <v>297</v>
      </c>
      <c r="M17" s="58" t="s">
        <v>298</v>
      </c>
    </row>
    <row r="18">
      <c r="B18" s="114"/>
      <c r="E18" s="114"/>
      <c r="F18" s="114"/>
      <c r="G18" s="114"/>
      <c r="K18" s="58" t="s">
        <v>299</v>
      </c>
      <c r="M18" s="58" t="s">
        <v>300</v>
      </c>
    </row>
    <row r="19">
      <c r="A19" s="63" t="s">
        <v>267</v>
      </c>
      <c r="B19" s="92" t="s">
        <v>285</v>
      </c>
      <c r="C19" s="92" t="s">
        <v>286</v>
      </c>
      <c r="D19" s="168" t="s">
        <v>287</v>
      </c>
      <c r="E19" s="176" t="s">
        <v>106</v>
      </c>
      <c r="F19" s="177" t="s">
        <v>288</v>
      </c>
      <c r="G19" s="178" t="s">
        <v>273</v>
      </c>
    </row>
    <row r="20">
      <c r="A20" s="65" t="s">
        <v>290</v>
      </c>
      <c r="D20" s="66"/>
      <c r="E20" s="174"/>
      <c r="F20" s="114"/>
      <c r="G20" s="148"/>
    </row>
    <row r="21">
      <c r="A21" s="65" t="s">
        <v>291</v>
      </c>
      <c r="B21" s="114">
        <f>((((25.9+16.2+21.6)%*I2)*(1+I5+30%))+(((25.9+16.2+43.2)%*I2)*(1+I5+60%))+(((25.9+16.2+64.8)%*I2)*(1+I5+90%))+(((130)%*I2)*(1+I5+90%)))*(B10-1)*((80+20)/((95+20)*(1-(B3))+80+20))*(1+I6+C3)*(1+D3+E3+I7)</f>
        <v>297882.1028</v>
      </c>
      <c r="C21" s="114">
        <f>((((25.9+16.2+21.6)%*I2)*(1+I5+30%))+(((25.9+16.2+43.2)%*I2)*(1+I5+IF(L6=TRUE,48%,0)+60%))+(((25.9+16.2+64.8)%*I2)*(1+I5+90%))+(((130)%*I2)*(1+I5+90%)))*(B10-1)*((80+20)/((95+20)*(1-(B2))+80+20))*(1+I6+C2)*(1+D2+E2+I7)</f>
        <v>355766.4196</v>
      </c>
      <c r="D21" s="148">
        <f>((((25.9+16.2+21.6)%*I2)*(1+I5+30%))+(((25.9+16.2+43.2)%*I2)*(1+I5+IF(L6=TRUE,48%,0)+60%))+(((25.9+16.2+64.8)%*I2)*(1+I5+90%))+(((130)%*I2)*(1+I5+90%)))*(B10-1)*((80+20)/((95+20)*(1-(B2+B3))+80+20))*(1+I6+C2+C3)*(1+D2+D3+E2+E3+I7)</f>
        <v>515777.3446</v>
      </c>
      <c r="E21" s="174">
        <f>((((25.9+16.2+21.6)%*I2)*(1+I5+30%))+(((25.9+16.2+43.2)%*I2)*(1+I5+60%))+(((25.9+16.2+64.8)%*I2)*(1+I5+90%))+(((130)%*I2)*(1+I5+90%)))*(B10-1)*((80+20)/((95+20)*(1)+80+20))*(1+I6)*(1+I7)</f>
        <v>205469.376</v>
      </c>
      <c r="F21" s="114">
        <f>((((25.9+16.2+21.6)%*I2)*(1+I5+30%))+(((25.9+16.2+43.2)%*I2)*(1+I5+IF(L6=TRUE,48%,0)+60%))+(((25.9+16.2+64.8)%*I2)*(1+I5+90%))+(((130)%*I2)*(1+I5+90%)))*(B10-1)*((80+20)/((95+20)*(1-(B2))+80+20))*(1+I6+C2)*(1+D2+E2+I7)</f>
        <v>355766.4196</v>
      </c>
      <c r="G21" s="148">
        <f>((((25.9+16.2+21.6)%*I2)*(1+I5+30%))+(((25.9+16.2+43.2)%*I2)*(1+I5+60%))+(((25.9+16.2+64.8)%*I2)*(1+I5+90%))+(((130)%*I2)*(1+I5+90%)))*(B10-1)*((80+20)/((95+20)*(1-(B3))+80+20))*(1+I6+C3)*(1+D3+E3+I7)</f>
        <v>297882.1028</v>
      </c>
    </row>
    <row r="22">
      <c r="A22" s="65" t="s">
        <v>292</v>
      </c>
      <c r="B22" s="114">
        <f>((((25.9+16.2+21.6)%*I2)*(1+I5+30%))+(((25.9+16.2+43.2)%*I2)*(1+I5+60%))+(((25.9+16.2+64.8)%*I2)*(1+I5+90%))+(((130)%*I2)*(1+I5+90%)))*((80+20)/((95+20)*(1-(B3+B4))+80+20))*(1+I6+C3+C4)*(1+D3+D4+E3+E4+I7) +
((25)%*I2)*(1+I5+90%)*((80+20)/((95+20)*(1-(B4+B3))+80+20))*(1+I6+C3+C4)*(1+D3+D4+E3+E4+I7)*6</f>
        <v>242741.5288</v>
      </c>
      <c r="C22" s="114">
        <f>((((25.9+16.2+21.6)%*I2)*(1+I5+30%))+(((25.9+16.2+43.2)%*I2)*(1+I5+IF(L6=TRUE,48%,0)+60%))+(((25.9+16.2+64.8)%*I2)*(1+I5+90%))+(((130)%*I2)*(1+I5+90%)))*((80+20)/((95+20)*(1-(B2+B4))+80+20))*(1+I6+C2+C4)*(1+D2+D4+E2+E4+I7) +
((25)%*I2)*(1+I5+90%)*((80+20)/((95+20)*(1-(B4+B2))+80+20))*(1+I6+C2+C4)*(1+D2+D4+E2+E4+I7)*6</f>
        <v>228253.3288</v>
      </c>
      <c r="D22" s="148">
        <f>((((25.9+16.2+21.6)%*I2)*(1+I5+30%))+(((25.9+16.2+43.2)%*I2)*(1+I5+IF(L6=TRUE,48%,0)+60%))+(((25.9+16.2+64.8)%*I2)*(1+I5+90%))+(((130)%*I2)*(1+I5+90%)))*((80+20)/((95+20)*(1-(B2+B3))+80+20))*(1+I6+C2+C3)*(1+D2+D3+E2+E3+I7) +
((25)%*I2)*(1+I5+90%)*((80+20)/((95+20)*(1-(B3+B2))+80+20))*(1+I6+C2+C3)*(1+D2+D3+E2+E3+I7)*6</f>
        <v>180790.8711</v>
      </c>
      <c r="E22" s="174">
        <f>((((25.9+16.2+21.6)%*I2)*(1+I5+30%))+(((25.9+16.2+43.2)%*I2)*(1+I5+60%))+(((25.9+16.2+64.8)%*I2)*(1+I5+90%))+(((130)%*I2)*(1+I5+90%)))*((80+20)/((95+20)*(1-(B4))+80+20))*(1+I6+C4)*(1+D4+E4+I7) +
((25)%*I2)*(1+I5+90%)*((80+20)/((95+20)*(1-(B4))+80+20))*(1+I6+C4)*(1+D4+E4+I7)*6</f>
        <v>137640.1983</v>
      </c>
      <c r="F22" s="114">
        <f>((((25.9+16.2+21.6)%*I2)*(1+I5+30%))+(((25.9+16.2+43.2)%*I2)*(1+I5+IF(L6=TRUE,48%,0)+60%))+(((25.9+16.2+64.8)%*I2)*(1+I5+90%))+(((130)%*I2)*(1+I5+90%)))*((80+20)/((95+20)*(1-(B2))+80+20))*(1+I6+C2)*(1+D2+E2+I7) +
((25)%*I2)*(1+I5+90%)*((80+20)/((95+20)*(1-(B2))+80+20))*(1+I6+C2)*(1+D2+E2+I7)*6</f>
        <v>124703.6567</v>
      </c>
      <c r="G22" s="148">
        <f>((((25.9+16.2+21.6)%*I2)*(1+I5+30%))+(((25.9+16.2+43.2)%*I2)*(1+I5+60%))+(((25.9+16.2+64.8)%*I2)*(1+I5+90%))+(((130)%*I2)*(1+I5+90%)))*((80+20)/((95+20)*(1-(B3))+80+20))*(1+I6+C3)*(1+D3+E3+I7) +
((25)%*I2)*(1+I5+90%)*((80+20)/((95+20)*(1-(B3))+80+20))*(1+I6+C3)*(1+D3+E3+I7)*6</f>
        <v>104413.979</v>
      </c>
    </row>
    <row r="23">
      <c r="A23" s="65" t="s">
        <v>247</v>
      </c>
      <c r="B23" s="114"/>
      <c r="C23" s="114"/>
      <c r="D23" s="148"/>
      <c r="E23" s="174"/>
      <c r="F23" s="114"/>
      <c r="G23" s="148"/>
    </row>
    <row r="24">
      <c r="A24" s="65" t="s">
        <v>291</v>
      </c>
      <c r="B24" s="114">
        <f>B21*(1+I4)</f>
        <v>1315447.366</v>
      </c>
      <c r="C24" s="114">
        <f>C21*(1+I4)</f>
        <v>1571064.509</v>
      </c>
      <c r="D24" s="148">
        <f>D21*(1+I4)</f>
        <v>2277672.754</v>
      </c>
      <c r="E24" s="174">
        <f>E21*(1+I4)</f>
        <v>907352.7644</v>
      </c>
      <c r="F24" s="114">
        <f>F21*(1+I4)</f>
        <v>1571064.509</v>
      </c>
      <c r="G24" s="148">
        <f>G21*(1+I4)</f>
        <v>1315447.366</v>
      </c>
    </row>
    <row r="25">
      <c r="A25" s="79" t="s">
        <v>292</v>
      </c>
      <c r="B25" s="152">
        <f>B22*(1+I4)</f>
        <v>1071946.591</v>
      </c>
      <c r="C25" s="152">
        <f>C22*(1+I4)</f>
        <v>1007966.7</v>
      </c>
      <c r="D25" s="153">
        <f>D22*(1+I4)</f>
        <v>798372.4868</v>
      </c>
      <c r="E25" s="175">
        <f>E22*(1+I4)</f>
        <v>607819.1155</v>
      </c>
      <c r="F25" s="152">
        <f>F22*(1+I4)</f>
        <v>550691.3479</v>
      </c>
      <c r="G25" s="153">
        <f>G22*(1+I4)</f>
        <v>461092.1314</v>
      </c>
    </row>
  </sheetData>
  <mergeCells count="3">
    <mergeCell ref="B6:E6"/>
    <mergeCell ref="B7:E7"/>
    <mergeCell ref="B8:E8"/>
  </mergeCells>
  <dataValidations>
    <dataValidation type="list" allowBlank="1" showErrorMessage="1" sqref="H8">
      <formula1>"1,2"</formula1>
    </dataValidation>
    <dataValidation type="list" allowBlank="1" showErrorMessage="1" sqref="B6:B8">
      <formula1>"Resolution Shines as Pearls of Sweat S5,Incessant Rain S1,Those Many Springs S1"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9" t="s">
        <v>301</v>
      </c>
      <c r="B1" s="180">
        <f>TODAY()</f>
        <v>45552</v>
      </c>
      <c r="C1" s="181" t="s">
        <v>302</v>
      </c>
      <c r="D1" s="182">
        <f>DATE(2024,9,10)+42</f>
        <v>45587</v>
      </c>
      <c r="E1" s="183" t="s">
        <v>303</v>
      </c>
      <c r="F1" s="184">
        <f>D1-B1</f>
        <v>35</v>
      </c>
      <c r="H1" s="63" t="s">
        <v>304</v>
      </c>
      <c r="I1" s="185"/>
    </row>
    <row r="2">
      <c r="A2" s="121" t="s">
        <v>305</v>
      </c>
      <c r="F2" s="150"/>
      <c r="H2" s="65" t="s">
        <v>105</v>
      </c>
      <c r="I2" s="66" t="b">
        <v>0</v>
      </c>
      <c r="N2" s="58" t="s">
        <v>306</v>
      </c>
      <c r="O2" s="58">
        <f>Q2-P2</f>
        <v>27</v>
      </c>
      <c r="P2" s="186">
        <f>TODAY()</f>
        <v>45552</v>
      </c>
      <c r="Q2" s="186">
        <f>DATE(2024,9,24)+20</f>
        <v>45579</v>
      </c>
    </row>
    <row r="3">
      <c r="A3" s="65" t="s">
        <v>307</v>
      </c>
      <c r="B3" s="68">
        <f>150*F1</f>
        <v>5250</v>
      </c>
      <c r="C3" s="58" t="s">
        <v>308</v>
      </c>
      <c r="E3" s="58" t="s">
        <v>309</v>
      </c>
      <c r="F3" s="104">
        <v>25.0</v>
      </c>
      <c r="H3" s="65" t="s">
        <v>310</v>
      </c>
      <c r="I3" s="66" t="b">
        <v>0</v>
      </c>
      <c r="N3" s="58" t="s">
        <v>307</v>
      </c>
      <c r="O3" s="68">
        <f>60*O2</f>
        <v>1620</v>
      </c>
      <c r="Q3" s="68">
        <f>Q2-P2</f>
        <v>27</v>
      </c>
    </row>
    <row r="4">
      <c r="A4" s="65" t="s">
        <v>311</v>
      </c>
      <c r="B4" s="68">
        <f>(225*ROUNDDOWN(F1/7))</f>
        <v>1125</v>
      </c>
      <c r="C4" s="187">
        <f>SUM(B3:B8,C5)</f>
        <v>10395</v>
      </c>
      <c r="E4" s="58" t="s">
        <v>312</v>
      </c>
      <c r="F4" s="104">
        <v>0.0</v>
      </c>
      <c r="H4" s="65" t="s">
        <v>257</v>
      </c>
      <c r="I4" s="66" t="b">
        <v>0</v>
      </c>
      <c r="N4" s="58" t="s">
        <v>313</v>
      </c>
      <c r="O4" s="68">
        <f>(160*ROUND(O2/7,0))</f>
        <v>640</v>
      </c>
    </row>
    <row r="5">
      <c r="A5" s="65" t="s">
        <v>314</v>
      </c>
      <c r="B5" s="68">
        <f>(800*ROUNDDOWN(F1/14))</f>
        <v>1600</v>
      </c>
      <c r="C5" s="188">
        <v>20.0</v>
      </c>
      <c r="E5" s="58" t="s">
        <v>315</v>
      </c>
      <c r="F5" s="115">
        <f>5+15</f>
        <v>20</v>
      </c>
      <c r="H5" s="65" t="s">
        <v>316</v>
      </c>
      <c r="I5" s="66" t="b">
        <v>0</v>
      </c>
      <c r="N5" s="58" t="s">
        <v>317</v>
      </c>
      <c r="O5" s="58">
        <f>(720*ROUND(O2/7,0))</f>
        <v>2880</v>
      </c>
    </row>
    <row r="6">
      <c r="A6" s="65" t="s">
        <v>318</v>
      </c>
      <c r="B6" s="58">
        <v>0.0</v>
      </c>
      <c r="E6" s="58" t="s">
        <v>319</v>
      </c>
      <c r="F6" s="115">
        <v>99.0</v>
      </c>
      <c r="H6" s="65" t="s">
        <v>254</v>
      </c>
      <c r="I6" s="115" t="b">
        <v>0</v>
      </c>
      <c r="N6" s="58" t="s">
        <v>320</v>
      </c>
      <c r="O6" s="68">
        <f>SUM(O3:O5)+3000</f>
        <v>8140</v>
      </c>
    </row>
    <row r="7">
      <c r="A7" s="65" t="s">
        <v>321</v>
      </c>
      <c r="B7" s="58">
        <v>300.0</v>
      </c>
      <c r="C7" s="58" t="s">
        <v>322</v>
      </c>
      <c r="F7" s="115" t="s">
        <v>323</v>
      </c>
      <c r="H7" s="65" t="s">
        <v>324</v>
      </c>
      <c r="I7" s="115" t="b">
        <v>1</v>
      </c>
      <c r="K7" s="68"/>
      <c r="N7" s="58" t="s">
        <v>325</v>
      </c>
      <c r="O7" s="68">
        <f>ROUNDDOWN(O6/160)</f>
        <v>50</v>
      </c>
    </row>
    <row r="8">
      <c r="A8" s="58" t="s">
        <v>326</v>
      </c>
      <c r="B8" s="58">
        <f>620+500+600+80+300</f>
        <v>2100</v>
      </c>
      <c r="C8" s="187">
        <f>ROUNDDOWN(C4/160)</f>
        <v>64</v>
      </c>
      <c r="F8" s="189">
        <f>F6+F5+C8</f>
        <v>183</v>
      </c>
      <c r="H8" s="65" t="s">
        <v>327</v>
      </c>
      <c r="I8" s="115" t="b">
        <v>1</v>
      </c>
      <c r="K8" s="190"/>
      <c r="N8" s="58" t="s">
        <v>315</v>
      </c>
      <c r="O8" s="58">
        <f>15+30</f>
        <v>45</v>
      </c>
    </row>
    <row r="9">
      <c r="A9" s="121" t="s">
        <v>328</v>
      </c>
      <c r="F9" s="150"/>
      <c r="H9" s="65" t="s">
        <v>329</v>
      </c>
      <c r="I9" s="115" t="b">
        <v>1</v>
      </c>
      <c r="N9" s="58" t="s">
        <v>330</v>
      </c>
      <c r="O9" s="68">
        <f>O8+O7</f>
        <v>95</v>
      </c>
    </row>
    <row r="10">
      <c r="A10" s="191"/>
      <c r="B10" s="115" t="s">
        <v>331</v>
      </c>
      <c r="C10" s="192" t="s">
        <v>332</v>
      </c>
      <c r="D10" s="192" t="s">
        <v>333</v>
      </c>
      <c r="E10" s="192" t="s">
        <v>334</v>
      </c>
      <c r="F10" s="192" t="s">
        <v>335</v>
      </c>
      <c r="H10" s="65" t="s">
        <v>155</v>
      </c>
      <c r="I10" s="115" t="b">
        <v>0</v>
      </c>
      <c r="O10" s="68">
        <f>22+O9</f>
        <v>117</v>
      </c>
      <c r="P10" s="68">
        <f>99+O10</f>
        <v>216</v>
      </c>
      <c r="Q10" s="68">
        <f>P10-90</f>
        <v>126</v>
      </c>
    </row>
    <row r="11">
      <c r="A11" s="72" t="s">
        <v>157</v>
      </c>
      <c r="F11" s="150"/>
      <c r="H11" s="65" t="s">
        <v>153</v>
      </c>
      <c r="I11" s="115" t="b">
        <v>0</v>
      </c>
      <c r="O11" s="58">
        <v>3000.0</v>
      </c>
    </row>
    <row r="12">
      <c r="A12" s="58" t="s">
        <v>336</v>
      </c>
      <c r="B12" s="66">
        <f>F8-(78-F3)</f>
        <v>130</v>
      </c>
      <c r="C12" s="66">
        <f>F8-((2*78)-F3)</f>
        <v>52</v>
      </c>
      <c r="D12" s="193">
        <f>F8-((3*78)-F3)</f>
        <v>-26</v>
      </c>
      <c r="E12" s="193">
        <f>F8-((4*78)-F3)</f>
        <v>-104</v>
      </c>
      <c r="F12" s="193">
        <f>F8-((5*78)-F3)</f>
        <v>-182</v>
      </c>
      <c r="H12" s="79" t="s">
        <v>154</v>
      </c>
      <c r="I12" s="127" t="b">
        <v>0</v>
      </c>
    </row>
    <row r="13">
      <c r="A13" s="72" t="s">
        <v>109</v>
      </c>
      <c r="F13" s="150"/>
    </row>
    <row r="14">
      <c r="A14" s="79" t="s">
        <v>336</v>
      </c>
      <c r="B14" s="194">
        <f>F8-(67-F4)</f>
        <v>116</v>
      </c>
      <c r="C14" s="195">
        <f>F8-(2*67-F4)</f>
        <v>49</v>
      </c>
      <c r="D14" s="195">
        <f>F8-(3*67-F4)</f>
        <v>-18</v>
      </c>
      <c r="E14" s="195">
        <f>F8-(4*67-F4)</f>
        <v>-85</v>
      </c>
      <c r="F14" s="195">
        <f>F8-(5*67-F4)</f>
        <v>-152</v>
      </c>
    </row>
    <row r="15">
      <c r="K15" s="196"/>
    </row>
    <row r="17">
      <c r="H17" s="68">
        <f>40+40+60+64.8+36+16</f>
        <v>256.8</v>
      </c>
    </row>
    <row r="18">
      <c r="H18" s="68">
        <f>H17-64.8</f>
        <v>192</v>
      </c>
    </row>
    <row r="25">
      <c r="K25" s="58" t="s">
        <v>337</v>
      </c>
    </row>
    <row r="26">
      <c r="A26" s="58" t="s">
        <v>338</v>
      </c>
      <c r="D26" s="58" t="s">
        <v>339</v>
      </c>
      <c r="E26" s="58" t="s">
        <v>340</v>
      </c>
      <c r="G26" s="58" t="s">
        <v>341</v>
      </c>
      <c r="K26" s="68">
        <f>37.4+12+10+12</f>
        <v>71.4</v>
      </c>
    </row>
    <row r="27">
      <c r="A27" s="58" t="s">
        <v>275</v>
      </c>
      <c r="B27" s="58" t="s">
        <v>342</v>
      </c>
      <c r="D27" s="58" t="s">
        <v>343</v>
      </c>
      <c r="E27" s="58" t="s">
        <v>344</v>
      </c>
      <c r="G27" s="58" t="s">
        <v>345</v>
      </c>
      <c r="K27" s="68">
        <f>59.9+24</f>
        <v>83.9</v>
      </c>
    </row>
    <row r="28">
      <c r="A28" s="58" t="s">
        <v>274</v>
      </c>
      <c r="B28" s="58" t="s">
        <v>342</v>
      </c>
      <c r="D28" s="58" t="s">
        <v>147</v>
      </c>
      <c r="E28" s="58" t="s">
        <v>346</v>
      </c>
      <c r="G28" s="58" t="s">
        <v>347</v>
      </c>
    </row>
    <row r="29">
      <c r="A29" s="58" t="s">
        <v>293</v>
      </c>
      <c r="B29" s="58" t="s">
        <v>348</v>
      </c>
      <c r="G29" s="58" t="s">
        <v>349</v>
      </c>
    </row>
    <row r="30">
      <c r="A30" s="58" t="s">
        <v>104</v>
      </c>
      <c r="B30" s="58" t="s">
        <v>350</v>
      </c>
      <c r="G30" s="58" t="s">
        <v>351</v>
      </c>
    </row>
    <row r="32">
      <c r="A32" s="58" t="s">
        <v>278</v>
      </c>
      <c r="B32" s="58" t="s">
        <v>352</v>
      </c>
      <c r="J32" s="68">
        <f>ROUNDDOWN(1.6)</f>
        <v>1</v>
      </c>
    </row>
    <row r="35">
      <c r="A35" s="179" t="s">
        <v>301</v>
      </c>
      <c r="B35" s="180">
        <f>TODAY()</f>
        <v>45552</v>
      </c>
      <c r="C35" s="181" t="s">
        <v>302</v>
      </c>
      <c r="D35" s="182">
        <f>DATE(2024,9,10)+20</f>
        <v>45565</v>
      </c>
      <c r="E35" s="183" t="s">
        <v>303</v>
      </c>
      <c r="F35" s="184">
        <f>D35-B35</f>
        <v>13</v>
      </c>
    </row>
    <row r="36">
      <c r="A36" s="121" t="s">
        <v>305</v>
      </c>
      <c r="F36" s="150"/>
    </row>
    <row r="37">
      <c r="A37" s="65" t="s">
        <v>307</v>
      </c>
      <c r="B37" s="68">
        <f>60*F35</f>
        <v>780</v>
      </c>
      <c r="C37" s="58" t="s">
        <v>308</v>
      </c>
      <c r="E37" s="58" t="s">
        <v>309</v>
      </c>
      <c r="F37" s="104">
        <v>0.0</v>
      </c>
    </row>
    <row r="38">
      <c r="A38" s="65" t="s">
        <v>311</v>
      </c>
      <c r="B38" s="68">
        <f>(225*ROUNDDOWN(F35/7))</f>
        <v>225</v>
      </c>
      <c r="C38" s="187">
        <f>SUM(B37:B42,C39)</f>
        <v>19405</v>
      </c>
      <c r="E38" s="58" t="s">
        <v>312</v>
      </c>
      <c r="F38" s="104">
        <v>0.0</v>
      </c>
    </row>
    <row r="39">
      <c r="A39" s="65" t="s">
        <v>353</v>
      </c>
      <c r="C39" s="188">
        <f>17000</f>
        <v>17000</v>
      </c>
      <c r="E39" s="58" t="s">
        <v>315</v>
      </c>
      <c r="F39" s="115">
        <f>5+10</f>
        <v>15</v>
      </c>
    </row>
    <row r="40">
      <c r="A40" s="65" t="s">
        <v>318</v>
      </c>
      <c r="B40" s="58">
        <v>600.0</v>
      </c>
      <c r="E40" s="58" t="s">
        <v>319</v>
      </c>
      <c r="F40" s="115">
        <v>15.0</v>
      </c>
    </row>
    <row r="41">
      <c r="A41" s="65" t="s">
        <v>321</v>
      </c>
      <c r="B41" s="58">
        <v>300.0</v>
      </c>
      <c r="C41" s="58" t="s">
        <v>322</v>
      </c>
      <c r="F41" s="115" t="s">
        <v>323</v>
      </c>
    </row>
    <row r="42">
      <c r="A42" s="58" t="s">
        <v>326</v>
      </c>
      <c r="B42" s="68">
        <f>500</f>
        <v>500</v>
      </c>
      <c r="C42" s="187">
        <f>ROUNDDOWN(C38/160)</f>
        <v>121</v>
      </c>
      <c r="F42" s="189">
        <f>F40+F39+C42</f>
        <v>151</v>
      </c>
    </row>
    <row r="43">
      <c r="A43" s="121" t="s">
        <v>328</v>
      </c>
      <c r="F43" s="150"/>
    </row>
    <row r="44">
      <c r="A44" s="191"/>
      <c r="B44" s="115" t="s">
        <v>331</v>
      </c>
      <c r="C44" s="192" t="s">
        <v>332</v>
      </c>
      <c r="D44" s="192" t="s">
        <v>333</v>
      </c>
      <c r="E44" s="192" t="s">
        <v>334</v>
      </c>
      <c r="F44" s="192" t="s">
        <v>335</v>
      </c>
    </row>
    <row r="45">
      <c r="A45" s="72" t="s">
        <v>157</v>
      </c>
      <c r="F45" s="150"/>
    </row>
    <row r="46">
      <c r="A46" s="58" t="s">
        <v>336</v>
      </c>
      <c r="B46" s="66">
        <f>F42-(78-F37)</f>
        <v>73</v>
      </c>
      <c r="C46" s="66">
        <f>F42-((2*78)-F37)</f>
        <v>-5</v>
      </c>
      <c r="D46" s="193">
        <f>F42-((3*78)-F37)</f>
        <v>-83</v>
      </c>
      <c r="E46" s="193">
        <f>F42-((4*78)-F37)</f>
        <v>-161</v>
      </c>
      <c r="F46" s="193">
        <f>F42-((5*78)-F37)</f>
        <v>-239</v>
      </c>
    </row>
    <row r="47">
      <c r="A47" s="72" t="s">
        <v>109</v>
      </c>
      <c r="F47" s="150"/>
    </row>
    <row r="48">
      <c r="A48" s="79" t="s">
        <v>336</v>
      </c>
      <c r="B48" s="194">
        <f>F42-(67-F38)</f>
        <v>84</v>
      </c>
      <c r="C48" s="195">
        <f>F42-(2*67-F38)</f>
        <v>17</v>
      </c>
      <c r="D48" s="195">
        <f>F42-(3*67-F38)</f>
        <v>-50</v>
      </c>
      <c r="E48" s="195">
        <f>F42-(4*67-F38)</f>
        <v>-117</v>
      </c>
      <c r="F48" s="195">
        <f>F42-(5*67-F38)</f>
        <v>-184</v>
      </c>
    </row>
  </sheetData>
  <mergeCells count="8">
    <mergeCell ref="A2:F2"/>
    <mergeCell ref="A9:F9"/>
    <mergeCell ref="A11:F11"/>
    <mergeCell ref="A13:F13"/>
    <mergeCell ref="A36:F36"/>
    <mergeCell ref="A43:F43"/>
    <mergeCell ref="A45:F45"/>
    <mergeCell ref="A47:F47"/>
  </mergeCells>
  <conditionalFormatting sqref="B12:F12 B14:F14 B46:F46 B48:F48">
    <cfRule type="cellIs" dxfId="0" priority="1" operator="greaterThan">
      <formula>0</formula>
    </cfRule>
  </conditionalFormatting>
  <conditionalFormatting sqref="B12:F12 B14:F14 B46:F46 B48:F48">
    <cfRule type="cellIs" dxfId="1" priority="2" operator="less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354</v>
      </c>
      <c r="B1" s="58" t="s">
        <v>104</v>
      </c>
      <c r="C1" s="58" t="s">
        <v>117</v>
      </c>
      <c r="D1" s="58" t="s">
        <v>118</v>
      </c>
      <c r="E1" s="58" t="s">
        <v>355</v>
      </c>
      <c r="G1" s="58" t="s">
        <v>104</v>
      </c>
      <c r="H1" s="58" t="s">
        <v>274</v>
      </c>
      <c r="I1" s="58" t="s">
        <v>356</v>
      </c>
      <c r="J1" s="58" t="s">
        <v>217</v>
      </c>
    </row>
    <row r="2">
      <c r="B2" s="58">
        <v>640.0</v>
      </c>
      <c r="C2" s="68">
        <f>45+4+4+6+6+8</f>
        <v>73</v>
      </c>
      <c r="D2" s="58">
        <v>12.5</v>
      </c>
      <c r="E2" s="68">
        <f>(B2+B3)*(SUM(C2:D4))%+352</f>
        <v>3127.162</v>
      </c>
      <c r="F2" s="58" t="s">
        <v>357</v>
      </c>
      <c r="G2" s="58">
        <v>10.0</v>
      </c>
      <c r="H2" s="68">
        <f>16*3</f>
        <v>48</v>
      </c>
      <c r="I2" s="58">
        <v>30.0</v>
      </c>
      <c r="J2" s="68">
        <f>SUM(G2:I5)</f>
        <v>246</v>
      </c>
    </row>
    <row r="3">
      <c r="B3" s="58">
        <v>582.0</v>
      </c>
      <c r="C3" s="68">
        <f>43.2*3</f>
        <v>129.6</v>
      </c>
      <c r="E3" s="68">
        <f>B2+B3+E2</f>
        <v>4349.162</v>
      </c>
      <c r="F3" s="58" t="s">
        <v>358</v>
      </c>
      <c r="G3" s="58">
        <v>80.0</v>
      </c>
      <c r="H3" s="58">
        <v>24.0</v>
      </c>
    </row>
    <row r="4">
      <c r="C4" s="58">
        <v>12.0</v>
      </c>
      <c r="G4" s="58">
        <v>18.0</v>
      </c>
    </row>
    <row r="5">
      <c r="G5" s="58">
        <v>36.0</v>
      </c>
    </row>
    <row r="7">
      <c r="A7" s="58" t="s">
        <v>359</v>
      </c>
      <c r="B7" s="58" t="s">
        <v>108</v>
      </c>
      <c r="C7" s="58" t="s">
        <v>117</v>
      </c>
      <c r="D7" s="58" t="s">
        <v>118</v>
      </c>
      <c r="E7" s="58" t="s">
        <v>360</v>
      </c>
      <c r="G7" s="58" t="s">
        <v>361</v>
      </c>
      <c r="H7" s="58" t="s">
        <v>362</v>
      </c>
      <c r="I7" s="58" t="s">
        <v>363</v>
      </c>
    </row>
    <row r="8">
      <c r="B8" s="58">
        <v>679.0</v>
      </c>
      <c r="C8" s="68">
        <f>16*4</f>
        <v>64</v>
      </c>
      <c r="D8" s="58">
        <v>20.0</v>
      </c>
      <c r="E8" s="68">
        <f>((B8+B9)*SUM(C8:D10)%)+((B8+B9)*I9%)+352</f>
        <v>4584.832</v>
      </c>
      <c r="F8" s="58" t="s">
        <v>357</v>
      </c>
      <c r="G8" s="58">
        <v>5219.0</v>
      </c>
      <c r="H8" s="68">
        <f t="shared" ref="H8:H10" si="1">G8*4%</f>
        <v>208.76</v>
      </c>
      <c r="I8" s="68">
        <f>SUM(H8:H10)*540%</f>
        <v>2987.712</v>
      </c>
    </row>
    <row r="9">
      <c r="B9" s="58">
        <v>529.0</v>
      </c>
      <c r="C9" s="58">
        <f>(43.2*2)</f>
        <v>86.4</v>
      </c>
      <c r="E9" s="68">
        <f>B8+B9+E8</f>
        <v>5792.832</v>
      </c>
      <c r="F9" s="58" t="s">
        <v>358</v>
      </c>
      <c r="G9" s="58">
        <v>4151.0</v>
      </c>
      <c r="H9" s="68">
        <f t="shared" si="1"/>
        <v>166.04</v>
      </c>
      <c r="I9" s="68">
        <f>IF(I8&gt;(SUM(B8:B9)),180,I8)</f>
        <v>180</v>
      </c>
    </row>
    <row r="10">
      <c r="G10" s="58">
        <v>4462.0</v>
      </c>
      <c r="H10" s="68">
        <f t="shared" si="1"/>
        <v>178.48</v>
      </c>
    </row>
    <row r="13">
      <c r="A13" s="58" t="s">
        <v>364</v>
      </c>
      <c r="B13" s="58" t="s">
        <v>365</v>
      </c>
      <c r="C13" s="58" t="s">
        <v>117</v>
      </c>
      <c r="D13" s="58" t="s">
        <v>118</v>
      </c>
      <c r="E13" s="58" t="s">
        <v>355</v>
      </c>
    </row>
    <row r="14">
      <c r="B14" s="58">
        <v>635.0</v>
      </c>
      <c r="C14" s="58">
        <v>12.0</v>
      </c>
      <c r="D14" s="58">
        <v>15.0</v>
      </c>
      <c r="E14" s="68">
        <f>(B15+B14)*(SUM(C14:D16))%+352</f>
        <v>2812.718</v>
      </c>
      <c r="F14" s="58" t="s">
        <v>357</v>
      </c>
    </row>
    <row r="15">
      <c r="B15" s="58">
        <v>698.0</v>
      </c>
      <c r="C15" s="58">
        <f>43.2*3</f>
        <v>129.6</v>
      </c>
      <c r="E15" s="68">
        <f>B15+B14+E14</f>
        <v>4145.718</v>
      </c>
      <c r="F15" s="58" t="s">
        <v>358</v>
      </c>
    </row>
    <row r="16">
      <c r="C16" s="68">
        <f>4+6+6+4+8</f>
        <v>28</v>
      </c>
    </row>
    <row r="18">
      <c r="A18" s="58" t="s">
        <v>366</v>
      </c>
      <c r="B18" s="58" t="s">
        <v>232</v>
      </c>
      <c r="C18" s="58" t="s">
        <v>117</v>
      </c>
      <c r="D18" s="58" t="s">
        <v>118</v>
      </c>
      <c r="E18" s="58" t="s">
        <v>367</v>
      </c>
    </row>
    <row r="19">
      <c r="B19" s="58">
        <v>655.0</v>
      </c>
      <c r="C19" s="58">
        <f>48</f>
        <v>48</v>
      </c>
      <c r="D19" s="58">
        <v>15.0</v>
      </c>
      <c r="E19" s="68">
        <f>(B19+B20)*(SUM(C19:D22))%</f>
        <v>2713.02</v>
      </c>
      <c r="F19" s="58" t="s">
        <v>357</v>
      </c>
    </row>
    <row r="20">
      <c r="B20" s="58">
        <v>662.0</v>
      </c>
      <c r="C20" s="68">
        <f>10+5+7.5+5+7.5</f>
        <v>35</v>
      </c>
      <c r="E20" s="68">
        <f>B19+B20+E19</f>
        <v>4030.02</v>
      </c>
      <c r="F20" s="58" t="s">
        <v>358</v>
      </c>
    </row>
    <row r="21">
      <c r="C21" s="68">
        <f>54*2</f>
        <v>108</v>
      </c>
    </row>
    <row r="23">
      <c r="A23" s="58" t="s">
        <v>368</v>
      </c>
      <c r="B23" s="58" t="s">
        <v>369</v>
      </c>
      <c r="C23" s="58" t="s">
        <v>117</v>
      </c>
      <c r="D23" s="58" t="s">
        <v>118</v>
      </c>
      <c r="E23" s="58" t="s">
        <v>355</v>
      </c>
    </row>
    <row r="24">
      <c r="B24" s="58">
        <v>582.0</v>
      </c>
      <c r="C24" s="68">
        <f>(43.2*2)</f>
        <v>86.4</v>
      </c>
      <c r="D24" s="58">
        <v>20.0</v>
      </c>
      <c r="E24" s="68">
        <f>(B24+B25)*(SUM(C24:D27))%+352</f>
        <v>2345.134</v>
      </c>
      <c r="F24" s="58" t="s">
        <v>357</v>
      </c>
    </row>
    <row r="25">
      <c r="B25" s="58">
        <v>529.0</v>
      </c>
      <c r="C25" s="68">
        <f>25+6+4+4+8+6</f>
        <v>53</v>
      </c>
      <c r="E25" s="68">
        <f>B24+B25+E24</f>
        <v>3456.134</v>
      </c>
      <c r="F25" s="58" t="s">
        <v>370</v>
      </c>
    </row>
    <row r="26">
      <c r="C26" s="68">
        <f>4*5</f>
        <v>20</v>
      </c>
    </row>
    <row r="28">
      <c r="A28" s="58" t="s">
        <v>371</v>
      </c>
      <c r="B28" s="58" t="s">
        <v>372</v>
      </c>
      <c r="C28" s="58" t="s">
        <v>117</v>
      </c>
      <c r="D28" s="58" t="s">
        <v>118</v>
      </c>
      <c r="E28" s="58" t="s">
        <v>373</v>
      </c>
    </row>
    <row r="29">
      <c r="B29" s="58">
        <v>606.0</v>
      </c>
      <c r="C29" s="58">
        <f>15+24+30</f>
        <v>69</v>
      </c>
      <c r="D29" s="68">
        <f>9.7+9.7+10.8</f>
        <v>30.2</v>
      </c>
      <c r="E29" s="68">
        <f>(B29+B30)*(SUM(C29:D32))%</f>
        <v>3166.378</v>
      </c>
      <c r="F29" s="58" t="s">
        <v>357</v>
      </c>
    </row>
    <row r="30">
      <c r="B30" s="58">
        <v>463.0</v>
      </c>
      <c r="C30" s="68">
        <f>54*3</f>
        <v>162</v>
      </c>
      <c r="E30" s="68">
        <f>B29+B30+E29</f>
        <v>4235.378</v>
      </c>
      <c r="F30" s="58" t="s">
        <v>370</v>
      </c>
    </row>
    <row r="31">
      <c r="C31" s="68">
        <f>5+5+7.5+7.5+10</f>
        <v>35</v>
      </c>
    </row>
    <row r="32">
      <c r="A32" s="58" t="s">
        <v>374</v>
      </c>
    </row>
    <row r="36">
      <c r="A36" s="58" t="s">
        <v>293</v>
      </c>
      <c r="B36" s="58" t="s">
        <v>375</v>
      </c>
      <c r="C36" s="58" t="s">
        <v>117</v>
      </c>
      <c r="D36" s="58" t="s">
        <v>118</v>
      </c>
    </row>
    <row r="37">
      <c r="B37" s="58">
        <v>1475.0</v>
      </c>
      <c r="C37" s="68">
        <f>(43.2*3)+40</f>
        <v>169.6</v>
      </c>
      <c r="D37" s="58">
        <v>50.0</v>
      </c>
      <c r="E37" s="68">
        <f>(B37+B38)*(SUM(C37:D40))%</f>
        <v>6961.32</v>
      </c>
    </row>
    <row r="38">
      <c r="B38" s="58">
        <v>1270.0</v>
      </c>
      <c r="C38" s="58">
        <v>16.0</v>
      </c>
      <c r="E38" s="68">
        <f>B37+B38+E37</f>
        <v>9706.32</v>
      </c>
    </row>
    <row r="39">
      <c r="C39" s="58">
        <v>18.0</v>
      </c>
    </row>
    <row r="42">
      <c r="A42" s="58" t="s">
        <v>376</v>
      </c>
      <c r="B42" s="58" t="s">
        <v>124</v>
      </c>
      <c r="C42" s="58" t="s">
        <v>132</v>
      </c>
      <c r="D42" s="58" t="s">
        <v>133</v>
      </c>
      <c r="E42" s="58" t="s">
        <v>377</v>
      </c>
      <c r="F42" s="58" t="s">
        <v>378</v>
      </c>
    </row>
    <row r="43">
      <c r="B43" s="70">
        <f>33.7+48</f>
        <v>81.7</v>
      </c>
      <c r="C43" s="72">
        <v>20.0</v>
      </c>
      <c r="D43" s="72">
        <v>30.0</v>
      </c>
      <c r="E43" s="70">
        <f>18.1+18.1+12.3+12.3</f>
        <v>60.8</v>
      </c>
      <c r="F43" s="197">
        <f>SUM(B43:E47)</f>
        <v>333.3</v>
      </c>
    </row>
    <row r="44">
      <c r="B44" s="69">
        <v>64.8</v>
      </c>
    </row>
    <row r="45">
      <c r="B45" s="69">
        <v>16.0</v>
      </c>
    </row>
    <row r="46">
      <c r="B46" s="69">
        <v>60.0</v>
      </c>
    </row>
    <row r="49">
      <c r="A49" s="58" t="s">
        <v>308</v>
      </c>
      <c r="B49" s="58" t="s">
        <v>375</v>
      </c>
      <c r="C49" s="58" t="s">
        <v>117</v>
      </c>
      <c r="D49" s="58" t="s">
        <v>379</v>
      </c>
      <c r="E49" s="58" t="s">
        <v>380</v>
      </c>
    </row>
    <row r="50">
      <c r="B50" s="58">
        <v>660.0</v>
      </c>
      <c r="C50" s="68">
        <f>0.5*50</f>
        <v>25</v>
      </c>
      <c r="D50" s="58">
        <v>30.0</v>
      </c>
      <c r="E50" s="68">
        <f>(B50+B51)*(SUM(C50:D53))%+352</f>
        <v>1407.7</v>
      </c>
    </row>
    <row r="51">
      <c r="B51" s="58">
        <v>582.0</v>
      </c>
      <c r="C51" s="58">
        <f>12+18</f>
        <v>30</v>
      </c>
      <c r="E51" s="68">
        <f>B50+B51+E50</f>
        <v>2649.7</v>
      </c>
    </row>
    <row r="62">
      <c r="A62" s="58" t="s">
        <v>381</v>
      </c>
    </row>
    <row r="63">
      <c r="A63" s="58" t="s">
        <v>382</v>
      </c>
    </row>
    <row r="64">
      <c r="A64" s="58" t="s">
        <v>184</v>
      </c>
      <c r="B64" s="58">
        <v>4.0</v>
      </c>
    </row>
    <row r="65">
      <c r="A65" s="58" t="s">
        <v>383</v>
      </c>
      <c r="B65" s="68">
        <f>12+20</f>
        <v>32</v>
      </c>
    </row>
    <row r="66">
      <c r="A66" s="58" t="s">
        <v>384</v>
      </c>
      <c r="B66" s="68">
        <f>10+20</f>
        <v>30</v>
      </c>
    </row>
    <row r="67">
      <c r="A67" s="58" t="s">
        <v>385</v>
      </c>
      <c r="B67" s="58" t="s">
        <v>386</v>
      </c>
      <c r="C67" s="58" t="s">
        <v>387</v>
      </c>
    </row>
    <row r="68">
      <c r="A68" s="58" t="s">
        <v>184</v>
      </c>
      <c r="B68" s="68">
        <f>2+3</f>
        <v>5</v>
      </c>
      <c r="C68" s="68">
        <f t="shared" ref="C68:C70" si="2">B68*5</f>
        <v>25</v>
      </c>
    </row>
    <row r="69">
      <c r="A69" s="58" t="s">
        <v>388</v>
      </c>
      <c r="B69" s="68">
        <f>2+3+4+6</f>
        <v>15</v>
      </c>
      <c r="C69" s="68">
        <f t="shared" si="2"/>
        <v>75</v>
      </c>
    </row>
    <row r="70">
      <c r="A70" s="58" t="s">
        <v>389</v>
      </c>
      <c r="B70" s="68">
        <f>5+8+10+12+15</f>
        <v>50</v>
      </c>
      <c r="C70" s="68">
        <f t="shared" si="2"/>
        <v>250</v>
      </c>
    </row>
    <row r="71">
      <c r="A71" s="58" t="s">
        <v>390</v>
      </c>
    </row>
    <row r="72">
      <c r="A72" s="58" t="s">
        <v>391</v>
      </c>
      <c r="B72" s="68">
        <f>2+3+4</f>
        <v>9</v>
      </c>
    </row>
    <row r="73">
      <c r="A73" s="58" t="s">
        <v>392</v>
      </c>
      <c r="B73" s="68">
        <f>2+4+9+15+30</f>
        <v>60</v>
      </c>
    </row>
    <row r="83">
      <c r="A83" s="58" t="s">
        <v>393</v>
      </c>
    </row>
    <row r="84">
      <c r="B84" s="68">
        <f>(B85/B85+C85)</f>
        <v>389.756</v>
      </c>
    </row>
    <row r="85">
      <c r="A85" s="58" t="s">
        <v>394</v>
      </c>
      <c r="B85" s="58">
        <v>421.0</v>
      </c>
      <c r="C85" s="68">
        <f>C86*(1-B86)</f>
        <v>388.756</v>
      </c>
      <c r="D85" s="58" t="s">
        <v>395</v>
      </c>
    </row>
    <row r="86">
      <c r="A86" s="58" t="s">
        <v>396</v>
      </c>
      <c r="B86" s="67">
        <f>(24+8)%</f>
        <v>0.32</v>
      </c>
      <c r="C86" s="58">
        <v>571.7</v>
      </c>
      <c r="D86" s="58" t="s">
        <v>397</v>
      </c>
    </row>
    <row r="87">
      <c r="A87" s="58" t="s">
        <v>398</v>
      </c>
      <c r="B87" s="85">
        <v>0.0</v>
      </c>
    </row>
  </sheetData>
  <conditionalFormatting sqref="I9">
    <cfRule type="cellIs" dxfId="0" priority="1" operator="equal">
      <formula>180</formula>
    </cfRule>
  </conditionalFormatting>
  <conditionalFormatting sqref="I9">
    <cfRule type="cellIs" dxfId="1" priority="2" operator="notEqual">
      <formula>180</formula>
    </cfRule>
  </conditionalFormatting>
  <drawing r:id="rId1"/>
</worksheet>
</file>