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ME)\JAM\THESIS\1_THESIS\3_ISAP\"/>
    </mc:Choice>
  </mc:AlternateContent>
  <xr:revisionPtr revIDLastSave="0" documentId="13_ncr:1_{614936D5-0F8F-4A9B-AB6E-96DE6E8FDC82}" xr6:coauthVersionLast="45" xr6:coauthVersionMax="45" xr10:uidLastSave="{00000000-0000-0000-0000-000000000000}"/>
  <bookViews>
    <workbookView xWindow="-120" yWindow="-120" windowWidth="29040" windowHeight="15840" activeTab="4" xr2:uid="{78D5F516-B7AA-437A-8564-7956C4172FE8}"/>
  </bookViews>
  <sheets>
    <sheet name="Inputs" sheetId="8" r:id="rId1"/>
    <sheet name="DesktopSurvey" sheetId="5" r:id="rId2"/>
    <sheet name="InitialSurvey" sheetId="6" r:id="rId3"/>
    <sheet name="DetailedSurvey" sheetId="7" r:id="rId4"/>
    <sheet name="SiteAssessmentCosts" sheetId="1" r:id="rId5"/>
    <sheet name="Summary Tabl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J4" i="6"/>
  <c r="J5" i="6"/>
  <c r="J6" i="6"/>
  <c r="J7" i="6"/>
  <c r="J3" i="6"/>
  <c r="C8" i="9" l="1"/>
  <c r="C14" i="9"/>
  <c r="D3" i="5"/>
  <c r="D4" i="5"/>
  <c r="D5" i="5"/>
  <c r="D6" i="5"/>
  <c r="D7" i="5"/>
  <c r="E3" i="8" l="1"/>
  <c r="F3" i="8" s="1"/>
  <c r="G3" i="8" s="1"/>
  <c r="D5" i="8" l="1"/>
  <c r="D6" i="8" s="1"/>
  <c r="D7" i="8" s="1"/>
  <c r="C5" i="8"/>
  <c r="C6" i="8" s="1"/>
  <c r="C7" i="8" s="1"/>
  <c r="B3" i="1"/>
  <c r="B4" i="1"/>
  <c r="C4" i="1"/>
  <c r="D4" i="1" s="1"/>
  <c r="C3" i="1"/>
  <c r="D3" i="1" s="1"/>
  <c r="C4" i="6"/>
  <c r="D4" i="6"/>
  <c r="C5" i="6"/>
  <c r="D5" i="6"/>
  <c r="C6" i="6"/>
  <c r="D6" i="6"/>
  <c r="C7" i="6"/>
  <c r="D7" i="6"/>
  <c r="C4" i="8"/>
  <c r="D4" i="8"/>
  <c r="B4" i="8"/>
  <c r="C5" i="1"/>
  <c r="D5" i="1" s="1"/>
  <c r="B5" i="8" l="1"/>
  <c r="E4" i="8"/>
  <c r="F4" i="8" s="1"/>
  <c r="G4" i="8" s="1"/>
  <c r="B5" i="1"/>
  <c r="D3" i="6"/>
  <c r="C3" i="6"/>
  <c r="B6" i="8" l="1"/>
  <c r="E5" i="8"/>
  <c r="C6" i="1"/>
  <c r="D6" i="1" s="1"/>
  <c r="B6" i="1"/>
  <c r="F5" i="8" l="1"/>
  <c r="G5" i="8" s="1"/>
  <c r="B7" i="8"/>
  <c r="E7" i="8" s="1"/>
  <c r="F7" i="8" s="1"/>
  <c r="G7" i="8" s="1"/>
  <c r="E6" i="8"/>
  <c r="F6" i="8" s="1"/>
  <c r="G6" i="8" s="1"/>
  <c r="E3" i="1"/>
  <c r="F3" i="1" s="1"/>
  <c r="F5" i="7"/>
  <c r="B7" i="1"/>
  <c r="C7" i="1"/>
  <c r="D7" i="1" s="1"/>
  <c r="F4" i="7"/>
  <c r="E4" i="1" s="1"/>
  <c r="F4" i="1" s="1"/>
  <c r="E5" i="1" l="1"/>
  <c r="F5" i="1" s="1"/>
  <c r="F6" i="7" l="1"/>
  <c r="E6" i="1" s="1"/>
  <c r="F6" i="1" s="1"/>
  <c r="F7" i="7"/>
  <c r="E7" i="1" s="1"/>
  <c r="F7" i="1" s="1"/>
</calcChain>
</file>

<file path=xl/sharedStrings.xml><?xml version="1.0" encoding="utf-8"?>
<sst xmlns="http://schemas.openxmlformats.org/spreadsheetml/2006/main" count="76" uniqueCount="59">
  <si>
    <t>Desktop Survey</t>
  </si>
  <si>
    <t>Number of Sites to Assess</t>
  </si>
  <si>
    <t>Initial Survey</t>
  </si>
  <si>
    <t>Detailed Survey</t>
  </si>
  <si>
    <t>Initial_Cost_VesselHire_PerDay</t>
  </si>
  <si>
    <t>Initial_Cost_Drifters</t>
  </si>
  <si>
    <t>Initial_Costs_SonarBuoys</t>
  </si>
  <si>
    <t>Initial_Cost_CTD</t>
  </si>
  <si>
    <t>Initial_Cost_SchmidtHammer</t>
  </si>
  <si>
    <t>Desktop_TotalCost</t>
  </si>
  <si>
    <t>NumberPotentialSites</t>
  </si>
  <si>
    <t>NumberSites_AfterDesktop</t>
  </si>
  <si>
    <t>NumberSites_AfterInitial</t>
  </si>
  <si>
    <t>NumberSites_AfterDetailed</t>
  </si>
  <si>
    <t>Initial_TotalCost</t>
  </si>
  <si>
    <t>Total Costs</t>
  </si>
  <si>
    <t>StandardSiteAssessment_TotalCost</t>
  </si>
  <si>
    <t>IncrementalSIteAssessment_TotalCost</t>
  </si>
  <si>
    <t>Detailed_SurveyDuration_Days</t>
  </si>
  <si>
    <t>Initial_SurveyDuration_Days</t>
  </si>
  <si>
    <t>Detailed_Cost_VesselHire_PerDay</t>
  </si>
  <si>
    <t>Detailed_ADCPSurvey_PerSite</t>
  </si>
  <si>
    <t>Detailed_BathySurvey_PerSite</t>
  </si>
  <si>
    <t>Detailed_BedSurvey_PerSite</t>
  </si>
  <si>
    <t>Detailed_TotalCost</t>
  </si>
  <si>
    <t>Initial_Cost_DropCamHire_PerDay</t>
  </si>
  <si>
    <t>IncrementalSIteAssessment_AverageCostPerPotentialSite</t>
  </si>
  <si>
    <t>StandardSiteAssessment_AverageCostPerPotentialSite</t>
  </si>
  <si>
    <t>SuccessRate_Desktop</t>
  </si>
  <si>
    <t>SuccessRate_Initial</t>
  </si>
  <si>
    <t>SuccessRate_Detailed</t>
  </si>
  <si>
    <t>NumberSites</t>
  </si>
  <si>
    <t>Desktop_Baseline_AnalysisSoftwareSubscriptions</t>
  </si>
  <si>
    <t>Desktop_PerSite_MetoceanDataPortals</t>
  </si>
  <si>
    <t>Desktop_PerSite_Charts</t>
  </si>
  <si>
    <t>Desktop Survey Aspect</t>
  </si>
  <si>
    <t>Analysis Software Subscriptions</t>
  </si>
  <si>
    <t>Cost [£]</t>
  </si>
  <si>
    <t>Nautical Chart Acquisition</t>
  </si>
  <si>
    <t>Metocean Data Portals Access</t>
  </si>
  <si>
    <t>Occurrence</t>
  </si>
  <si>
    <t>Baseline</t>
  </si>
  <si>
    <t>Per Site</t>
  </si>
  <si>
    <t>Initial Survey Aspect</t>
  </si>
  <si>
    <t>Detailed Survey Aspect</t>
  </si>
  <si>
    <t>Initial_Cost_SingleBeamMFSonar</t>
  </si>
  <si>
    <t>Lagrangian Drifters</t>
  </si>
  <si>
    <t>Sonar Buoy</t>
  </si>
  <si>
    <t>Single Beam MF Sonar</t>
  </si>
  <si>
    <t>CTD Sonde</t>
  </si>
  <si>
    <t>Schmidt Hammer</t>
  </si>
  <si>
    <t>Vessl Hire</t>
  </si>
  <si>
    <t>DropCam Hire</t>
  </si>
  <si>
    <t>Handheld Anemometer</t>
  </si>
  <si>
    <t>Initial_Cost_HandheldAnemometer</t>
  </si>
  <si>
    <t>Vessel Hire</t>
  </si>
  <si>
    <t>ADCP Survey</t>
  </si>
  <si>
    <t>Bathymetry Survey</t>
  </si>
  <si>
    <t>Bed Composition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</si>
</sst>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1" fillId="2" borderId="1" xfId="1"/>
    <xf numFmtId="0" fontId="2" fillId="3" borderId="2" xfId="2"/>
    <xf numFmtId="0" fontId="2" fillId="3" borderId="2" xfId="2" applyFont="1" applyFill="1" applyBorder="1"/>
    <xf numFmtId="0" fontId="3" fillId="4" borderId="0" xfId="0" applyFont="1" applyFill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SiteAssessmentCosts!$C$2</c:f>
              <c:strCache>
                <c:ptCount val="1"/>
                <c:pt idx="0">
                  <c:v>StandardSiteAssessment_TotalCost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SiteAssessmentCosts!$B$3:$B$7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SiteAssessmentCosts!$C$3:$C$7</c:f>
              <c:numCache>
                <c:formatCode>General</c:formatCode>
                <c:ptCount val="5"/>
                <c:pt idx="0">
                  <c:v>440000</c:v>
                </c:pt>
                <c:pt idx="1">
                  <c:v>352000</c:v>
                </c:pt>
                <c:pt idx="2">
                  <c:v>176000</c:v>
                </c:pt>
                <c:pt idx="3">
                  <c:v>88000</c:v>
                </c:pt>
                <c:pt idx="4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E-44C1-8D05-6758E6E3C998}"/>
            </c:ext>
          </c:extLst>
        </c:ser>
        <c:ser>
          <c:idx val="1"/>
          <c:order val="1"/>
          <c:tx>
            <c:strRef>
              <c:f>SiteAssessmentCosts!$E$2</c:f>
              <c:strCache>
                <c:ptCount val="1"/>
                <c:pt idx="0">
                  <c:v>IncrementalSIteAssessment_TotalCost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SiteAssessmentCosts!$B$3:$B$7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SiteAssessmentCosts!$E$3:$E$7</c:f>
              <c:numCache>
                <c:formatCode>General</c:formatCode>
                <c:ptCount val="5"/>
                <c:pt idx="0">
                  <c:v>145400</c:v>
                </c:pt>
                <c:pt idx="1">
                  <c:v>100570</c:v>
                </c:pt>
                <c:pt idx="2">
                  <c:v>54910</c:v>
                </c:pt>
                <c:pt idx="3">
                  <c:v>54080</c:v>
                </c:pt>
                <c:pt idx="4">
                  <c:v>53815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E-44C1-8D05-6758E6E3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45759"/>
        <c:axId val="1037151439"/>
      </c:lineChart>
      <c:catAx>
        <c:axId val="15492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51439"/>
        <c:crosses val="autoZero"/>
        <c:auto val="1"/>
        <c:lblAlgn val="ctr"/>
        <c:lblOffset val="100"/>
        <c:noMultiLvlLbl val="0"/>
      </c:catAx>
      <c:valAx>
        <c:axId val="10371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SiteAssessmentCosts!$D$2</c:f>
              <c:strCache>
                <c:ptCount val="1"/>
                <c:pt idx="0">
                  <c:v>StandardSiteAssessment_AverageCostPerPotentialSite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SiteAssessmentCosts!$B$3:$B$7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SiteAssessmentCosts!$D$3:$D$7</c:f>
              <c:numCache>
                <c:formatCode>General</c:formatCode>
                <c:ptCount val="5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A-4A73-BDF3-83BDD740F5BD}"/>
            </c:ext>
          </c:extLst>
        </c:ser>
        <c:ser>
          <c:idx val="1"/>
          <c:order val="1"/>
          <c:tx>
            <c:strRef>
              <c:f>SiteAssessmentCosts!$F$2</c:f>
              <c:strCache>
                <c:ptCount val="1"/>
                <c:pt idx="0">
                  <c:v>IncrementalSIteAssessment_AverageCostPerPotentialSite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SiteAssessmentCosts!$B$3:$B$7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SiteAssessmentCosts!$F$3:$F$7</c:f>
              <c:numCache>
                <c:formatCode>General</c:formatCode>
                <c:ptCount val="5"/>
                <c:pt idx="0">
                  <c:v>14540</c:v>
                </c:pt>
                <c:pt idx="1">
                  <c:v>12571</c:v>
                </c:pt>
                <c:pt idx="2">
                  <c:v>13728</c:v>
                </c:pt>
                <c:pt idx="3">
                  <c:v>27040</c:v>
                </c:pt>
                <c:pt idx="4">
                  <c:v>53815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A-4A73-BDF3-83BDD740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772431"/>
        <c:axId val="1718144527"/>
      </c:lineChart>
      <c:catAx>
        <c:axId val="10447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44527"/>
        <c:crosses val="autoZero"/>
        <c:auto val="1"/>
        <c:lblAlgn val="ctr"/>
        <c:lblOffset val="100"/>
        <c:noMultiLvlLbl val="0"/>
      </c:catAx>
      <c:valAx>
        <c:axId val="1718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8</xdr:row>
      <xdr:rowOff>61912</xdr:rowOff>
    </xdr:from>
    <xdr:to>
      <xdr:col>2</xdr:col>
      <xdr:colOff>2338387</xdr:colOff>
      <xdr:row>22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27221D-8D42-430C-884E-94CF32751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8</xdr:row>
      <xdr:rowOff>23812</xdr:rowOff>
    </xdr:from>
    <xdr:to>
      <xdr:col>5</xdr:col>
      <xdr:colOff>2157412</xdr:colOff>
      <xdr:row>22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B03870-8C9E-431B-9A53-D06D3742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02615-65A6-41D9-A9BB-A13620AE4D34}" name="NumberSites" displayName="NumberSites" ref="A2:G7" totalsRowShown="0" headerRowDxfId="15">
  <autoFilter ref="A2:G7" xr:uid="{122B0833-1554-4B58-B577-13A57A989F34}"/>
  <tableColumns count="7">
    <tableColumn id="1" xr3:uid="{A3F0021A-9389-470B-9674-F8667618594F}" name="NumberPotentialSites" dataCellStyle="Input"/>
    <tableColumn id="5" xr3:uid="{EF21CBA3-F16E-4109-B82F-63CA7F2ED859}" name="SuccessRate_Desktop" dataCellStyle="Input"/>
    <tableColumn id="7" xr3:uid="{0672C751-42EA-459B-9860-131BE03910EE}" name="SuccessRate_Initial" dataCellStyle="Input"/>
    <tableColumn id="6" xr3:uid="{61F92BEB-71F9-4615-81FC-7798B26005A7}" name="SuccessRate_Detailed" dataCellStyle="Input"/>
    <tableColumn id="2" xr3:uid="{D99362D7-82EA-4A25-9B41-1BC4897EF279}" name="NumberSites_AfterDesktop" dataDxfId="14" dataCellStyle="Output">
      <calculatedColumnFormula>ROUNDUP(NumberSites[[#This Row],[NumberPotentialSites]]*(1-NumberSites[[#This Row],[SuccessRate_Desktop]]),0)</calculatedColumnFormula>
    </tableColumn>
    <tableColumn id="3" xr3:uid="{20E1A4ED-06B3-4D4A-AF4F-40A13165B889}" name="NumberSites_AfterInitial" dataDxfId="13" dataCellStyle="Output">
      <calculatedColumnFormula>ROUNDUP(NumberSites[[#This Row],[NumberSites_AfterDesktop]]*(1-NumberSites[[#This Row],[SuccessRate_Initial]]),)</calculatedColumnFormula>
    </tableColumn>
    <tableColumn id="4" xr3:uid="{82D899FB-BEE3-410F-8594-3B4315EAA9BD}" name="NumberSites_AfterDetailed" dataDxfId="12" dataCellStyle="Output">
      <calculatedColumnFormula>ROUNDUP(NumberSites[[#This Row],[NumberSites_AfterInitial]]*(1-NumberSites[[#This Row],[SuccessRate_Detailed]]),)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1836D-C4E6-48D7-BE0C-02197025FEDA}" name="Desktop" displayName="Desktop" ref="A2:D7" totalsRowShown="0" headerRowDxfId="11">
  <autoFilter ref="A2:D7" xr:uid="{B842FB4C-B279-433B-874C-548CE6451C7E}"/>
  <tableColumns count="4">
    <tableColumn id="2" xr3:uid="{8F7969F9-12E1-4767-9130-AA9A72C0FD5F}" name="Desktop_Baseline_AnalysisSoftwareSubscriptions"/>
    <tableColumn id="1" xr3:uid="{D83A0DE1-5CF0-4A78-8882-4A52E8AA9DDE}" name="Desktop_PerSite_Charts"/>
    <tableColumn id="3" xr3:uid="{D20B73A7-AAEA-4BA5-8EC2-1D412187686B}" name="Desktop_PerSite_MetoceanDataPortals"/>
    <tableColumn id="4" xr3:uid="{D23CDE7B-FC85-4913-931C-F06E751F098D}" name="Desktop_TotalCost" dataDxfId="10" dataCellStyle="Output">
      <calculatedColumnFormula>Desktop[[#This Row],[Desktop_Baseline_AnalysisSoftwareSubscriptions]]
+((Desktop[[#This Row],[Desktop_PerSite_Charts]]+Desktop[[#This Row],[Desktop_PerSite_MetoceanDataPortals]])*NumberSites[[#This Row],[NumberPotentialSites]])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1F0BD8-EF4D-407B-83BB-64FD8AFF7C70}" name="Initial" displayName="Initial" ref="A2:J7" totalsRowShown="0" headerRowDxfId="9">
  <autoFilter ref="A2:J7" xr:uid="{3A84D39A-FB63-45E4-9914-7CF35D25A747}"/>
  <tableColumns count="10">
    <tableColumn id="2" xr3:uid="{710A26E7-4CE8-4323-A1B2-67CE6DB16321}" name="Initial_SurveyDuration_Days"/>
    <tableColumn id="3" xr3:uid="{4E6A2F06-AD1C-428F-88D2-C30C3640EE1A}" name="Initial_Cost_VesselHire_PerDay"/>
    <tableColumn id="4" xr3:uid="{585907FC-3AD8-43AE-9D3C-CF101E4104EA}" name="Initial_Cost_Drifters">
      <calculatedColumnFormula>4*100</calculatedColumnFormula>
    </tableColumn>
    <tableColumn id="5" xr3:uid="{5E0A9CC4-5C08-44F9-8765-ED80071AF37B}" name="Initial_Costs_SonarBuoys">
      <calculatedColumnFormula>100</calculatedColumnFormula>
    </tableColumn>
    <tableColumn id="6" xr3:uid="{9C90C5B4-4598-4C16-B36B-E9B16DD54959}" name="Initial_Cost_SingleBeamMFSonar"/>
    <tableColumn id="1" xr3:uid="{92E54287-DE5F-4B77-ADB6-A554CEFEA744}" name="Initial_Cost_HandheldAnemometer"/>
    <tableColumn id="7" xr3:uid="{2577EC6F-3829-4C06-837F-260224C84F9A}" name="Initial_Cost_CTD"/>
    <tableColumn id="8" xr3:uid="{7710B9E5-2458-4EE1-A5F5-99855D8F5B55}" name="Initial_Cost_SchmidtHammer"/>
    <tableColumn id="9" xr3:uid="{3B51DB98-2BC1-4398-9022-F0D404E1E23C}" name="Initial_Cost_DropCamHire_PerDay"/>
    <tableColumn id="10" xr3:uid="{88D43943-8FB8-4A4E-BEDB-1ADF35B7B15A}" name="Initial_TotalCost" dataDxfId="0" dataCellStyle="Output">
      <calculatedColumnFormula>(Initial[[#This Row],[Initial_Cost_Drifters]]+Initial[[#This Row],[Initial_Costs_SonarBuoys]]+Initial[[#This Row],[Initial_Cost_SingleBeamMFSonar]]+Initial[[#This Row],[Initial_Cost_CTD]]+Initial[[#This Row],[Initial_Cost_SchmidtHammer]]+Initial[[#This Row],[Initial_Cost_HandheldAnemometer]])
+((Initial[[#This Row],[Initial_Cost_VesselHire_PerDay]]*Initial[[#This Row],[Initial_SurveyDuration_Days]])
+(Initial[[#This Row],[Initial_Cost_DropCamHire_PerDay]]*Initial[[#This Row],[Initial_SurveyDuration_Days]])
*NumberSites[[#This Row],[NumberSites_AfterDesktop]])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FB49EF-7363-48D8-A497-348B56EF28C0}" name="Detailed" displayName="Detailed" ref="A2:F7" totalsRowShown="0" headerRowDxfId="8">
  <autoFilter ref="A2:F7" xr:uid="{A1B0D2F5-39F2-4B27-92B0-EEE6AA8C82CB}"/>
  <tableColumns count="6">
    <tableColumn id="2" xr3:uid="{0F542EED-440B-498E-87BD-7D2E695E31EB}" name="Detailed_SurveyDuration_Days"/>
    <tableColumn id="3" xr3:uid="{8441CA02-165B-4EFC-B552-1E48C0E95D1B}" name="Detailed_Cost_VesselHire_PerDay"/>
    <tableColumn id="4" xr3:uid="{884065B9-AF8B-46D3-B643-0B2DA83FCA51}" name="Detailed_ADCPSurvey_PerSite"/>
    <tableColumn id="5" xr3:uid="{3E434636-E06F-4EF2-A0FB-67070491DED3}" name="Detailed_BathySurvey_PerSite"/>
    <tableColumn id="6" xr3:uid="{83B6EFF6-3E34-4972-921F-12BC1A5538F7}" name="Detailed_BedSurvey_PerSite"/>
    <tableColumn id="7" xr3:uid="{5CEAEF1B-072A-47B2-B25C-9FA819328222}" name="Detailed_TotalCost" dataCellStyle="Output">
      <calculatedColumnFormula>((Detailed[[#This Row],[Detailed_Cost_VesselHire_PerDay]]*Detailed[[#This Row],[Detailed_SurveyDuration_Days]])
+Detailed[[#This Row],[Detailed_ADCPSurvey_PerSite]]
+Detailed[[#This Row],[Detailed_BathySurvey_PerSite]]
+Detailed[[#This Row],[Detailed_BedSurvey_PerSite]])
*NumberSites[[#This Row],[NumberSites_AfterInitial]]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7A785-70C1-4E4B-9005-66F2FD9671F0}" name="TotalCost" displayName="TotalCost" ref="B2:F7" totalsRowShown="0" headerRowDxfId="7" dataCellStyle="Output">
  <autoFilter ref="B2:F7" xr:uid="{7108C60A-43D8-4519-9AA8-041BBC817C17}"/>
  <tableColumns count="5">
    <tableColumn id="1" xr3:uid="{C7685C12-6FB8-47A9-81BF-5CD7946F2621}" name="NumberSites" dataDxfId="6" dataCellStyle="Output">
      <calculatedColumnFormula>NumberSites[[#This Row],[NumberPotentialSites]]</calculatedColumnFormula>
    </tableColumn>
    <tableColumn id="5" xr3:uid="{EE8CBF03-8633-410D-9C34-5CFD13677B2B}" name="StandardSiteAssessment_TotalCost" dataCellStyle="Output">
      <calculatedColumnFormula>((Detailed[[#This Row],[Detailed_SurveyDuration_Days]]*Detailed[[#This Row],[Detailed_Cost_VesselHire_PerDay]])
+Detailed[[#This Row],[Detailed_ADCPSurvey_PerSite]]
+Detailed[[#This Row],[Detailed_BathySurvey_PerSite]]
+Detailed[[#This Row],[Detailed_BedSurvey_PerSite]])
*NumberSites[[#This Row],[NumberPotentialSites]]</calculatedColumnFormula>
    </tableColumn>
    <tableColumn id="2" xr3:uid="{95E8F09B-2490-4625-A4DD-1E6BBEB868E5}" name="StandardSiteAssessment_AverageCostPerPotentialSite" dataDxfId="5" dataCellStyle="Output">
      <calculatedColumnFormula>ROUND(TotalCost[[#This Row],[StandardSiteAssessment_TotalCost]]/NumberSites[[#This Row],[NumberPotentialSites]],0)</calculatedColumnFormula>
    </tableColumn>
    <tableColumn id="3" xr3:uid="{D8837412-0990-4E9F-BC2F-65C9E51FC2F3}" name="IncrementalSIteAssessment_TotalCost" dataDxfId="4" dataCellStyle="Output">
      <calculatedColumnFormula>Desktop[[#This Row],[Desktop_TotalCost]]
+Initial[[#This Row],[Initial_TotalCost]]
+Detailed[[#This Row],[Detailed_TotalCost]]</calculatedColumnFormula>
    </tableColumn>
    <tableColumn id="4" xr3:uid="{F3916828-FD56-45FC-82B6-67467A5CAE7D}" name="IncrementalSIteAssessment_AverageCostPerPotentialSite" dataCellStyle="Output">
      <calculatedColumnFormula>ROUND(TotalCost[[#This Row],[IncrementalSIteAssessment_TotalCost]]/NumberSites[[#This Row],[NumberPotentialSites]],0)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E00DB4-FB64-4498-B2AE-D63D726E9A15}" name="Costs_Desktop" displayName="Costs_Desktop" ref="B1:D4" totalsRowShown="0" headerRowDxfId="3">
  <autoFilter ref="B1:D4" xr:uid="{C1577098-3581-4C3B-9FD7-B8BAB70F9484}"/>
  <tableColumns count="3">
    <tableColumn id="1" xr3:uid="{8E71D1D7-1187-40E2-A992-2B745FDB966D}" name="Desktop Survey Aspect"/>
    <tableColumn id="2" xr3:uid="{0A7A4606-3215-4524-A879-69CA416E2A00}" name="Cost [£]"/>
    <tableColumn id="3" xr3:uid="{62F043F0-4E31-42A1-A00C-96AAAC2A2023}" name="Occurre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5C9036-D398-4FE3-841C-1E89DCFF3DF1}" name="Costs_Initial" displayName="Costs_Initial" ref="B7:D15" totalsRowShown="0" headerRowDxfId="2">
  <autoFilter ref="B7:D15" xr:uid="{BC9993FB-22D2-492B-A1C4-56E1340C4B5C}"/>
  <tableColumns count="3">
    <tableColumn id="1" xr3:uid="{41D6422E-C2C3-4320-910D-9C08D62FE880}" name="Initial Survey Aspect"/>
    <tableColumn id="2" xr3:uid="{4222CF0F-4AA9-413F-A828-503328F232F2}" name="Cost [£]"/>
    <tableColumn id="3" xr3:uid="{FEC3AE00-68EF-4376-B21D-E186700AF413}" name="Occurren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776F90-4E82-4040-9445-ADAD2924CD95}" name="Costs_Detailed" displayName="Costs_Detailed" ref="B18:D22" totalsRowShown="0" headerRowDxfId="1">
  <autoFilter ref="B18:D22" xr:uid="{3E660015-0296-4978-AFBC-B40D1E7C5334}"/>
  <tableColumns count="3">
    <tableColumn id="1" xr3:uid="{F8007C8C-FE61-40D0-9A55-C184E68943B7}" name="Detailed Survey Aspect"/>
    <tableColumn id="2" xr3:uid="{6A650927-3592-4A6C-AA74-0522C1631397}" name="Cost [£]"/>
    <tableColumn id="3" xr3:uid="{F35917F9-FCD0-4785-B1F4-FE0C574BC96D}" name="Occur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8C3C-2CB7-436C-9343-0E3FB02F618B}">
  <dimension ref="A1:G7"/>
  <sheetViews>
    <sheetView workbookViewId="0">
      <selection activeCell="D28" sqref="D28"/>
    </sheetView>
  </sheetViews>
  <sheetFormatPr defaultRowHeight="15" x14ac:dyDescent="0.25"/>
  <cols>
    <col min="1" max="1" width="23.28515625" bestFit="1" customWidth="1"/>
    <col min="2" max="4" width="23.28515625" customWidth="1"/>
    <col min="5" max="5" width="28.28515625" bestFit="1" customWidth="1"/>
    <col min="6" max="6" width="26" bestFit="1" customWidth="1"/>
    <col min="7" max="7" width="28.5703125" bestFit="1" customWidth="1"/>
  </cols>
  <sheetData>
    <row r="1" spans="1:7" x14ac:dyDescent="0.25">
      <c r="A1" s="6" t="s">
        <v>1</v>
      </c>
      <c r="B1" s="6"/>
      <c r="C1" s="6"/>
      <c r="D1" s="6"/>
      <c r="E1" s="6"/>
      <c r="F1" s="6"/>
      <c r="G1" s="6"/>
    </row>
    <row r="2" spans="1:7" x14ac:dyDescent="0.25">
      <c r="A2" s="1" t="s">
        <v>10</v>
      </c>
      <c r="B2" s="1" t="s">
        <v>28</v>
      </c>
      <c r="C2" s="1" t="s">
        <v>29</v>
      </c>
      <c r="D2" s="1" t="s">
        <v>30</v>
      </c>
      <c r="E2" s="1" t="s">
        <v>11</v>
      </c>
      <c r="F2" s="1" t="s">
        <v>12</v>
      </c>
      <c r="G2" s="1" t="s">
        <v>13</v>
      </c>
    </row>
    <row r="3" spans="1:7" x14ac:dyDescent="0.25">
      <c r="A3" s="3">
        <v>10</v>
      </c>
      <c r="B3" s="3">
        <v>0.5</v>
      </c>
      <c r="C3" s="3">
        <v>0.5</v>
      </c>
      <c r="D3" s="3">
        <v>0.5</v>
      </c>
      <c r="E3" s="4">
        <f>ROUNDUP(NumberSites[[#This Row],[NumberPotentialSites]]*(1-NumberSites[[#This Row],[SuccessRate_Desktop]]),0)</f>
        <v>5</v>
      </c>
      <c r="F3" s="4">
        <f>ROUNDUP(NumberSites[[#This Row],[NumberSites_AfterDesktop]]*(1-NumberSites[[#This Row],[SuccessRate_Initial]]),)</f>
        <v>3</v>
      </c>
      <c r="G3" s="4">
        <f>ROUNDUP(NumberSites[[#This Row],[NumberSites_AfterInitial]]*(1-NumberSites[[#This Row],[SuccessRate_Detailed]]),)</f>
        <v>2</v>
      </c>
    </row>
    <row r="4" spans="1:7" x14ac:dyDescent="0.25">
      <c r="A4" s="3">
        <v>8</v>
      </c>
      <c r="B4" s="3">
        <f>B3</f>
        <v>0.5</v>
      </c>
      <c r="C4" s="3">
        <f t="shared" ref="C4:D7" si="0">C3</f>
        <v>0.5</v>
      </c>
      <c r="D4" s="3">
        <f t="shared" si="0"/>
        <v>0.5</v>
      </c>
      <c r="E4" s="4">
        <f>ROUNDUP(NumberSites[[#This Row],[NumberPotentialSites]]*(1-NumberSites[[#This Row],[SuccessRate_Desktop]]),0)</f>
        <v>4</v>
      </c>
      <c r="F4" s="4">
        <f>ROUNDUP(NumberSites[[#This Row],[NumberSites_AfterDesktop]]*(1-NumberSites[[#This Row],[SuccessRate_Initial]]),)</f>
        <v>2</v>
      </c>
      <c r="G4" s="4">
        <f>ROUNDUP(NumberSites[[#This Row],[NumberSites_AfterInitial]]*(1-NumberSites[[#This Row],[SuccessRate_Detailed]]),)</f>
        <v>1</v>
      </c>
    </row>
    <row r="5" spans="1:7" x14ac:dyDescent="0.25">
      <c r="A5" s="3">
        <v>4</v>
      </c>
      <c r="B5" s="3">
        <f t="shared" ref="B5:B7" si="1">B4</f>
        <v>0.5</v>
      </c>
      <c r="C5" s="3">
        <f t="shared" si="0"/>
        <v>0.5</v>
      </c>
      <c r="D5" s="3">
        <f t="shared" si="0"/>
        <v>0.5</v>
      </c>
      <c r="E5" s="4">
        <f>ROUNDUP(NumberSites[[#This Row],[NumberPotentialSites]]*(1-NumberSites[[#This Row],[SuccessRate_Desktop]]),0)</f>
        <v>2</v>
      </c>
      <c r="F5" s="4">
        <f>ROUNDUP(NumberSites[[#This Row],[NumberSites_AfterDesktop]]*(1-NumberSites[[#This Row],[SuccessRate_Initial]]),)</f>
        <v>1</v>
      </c>
      <c r="G5" s="4">
        <f>ROUNDUP(NumberSites[[#This Row],[NumberSites_AfterInitial]]*(1-NumberSites[[#This Row],[SuccessRate_Detailed]]),)</f>
        <v>1</v>
      </c>
    </row>
    <row r="6" spans="1:7" x14ac:dyDescent="0.25">
      <c r="A6" s="3">
        <v>2</v>
      </c>
      <c r="B6" s="3">
        <f t="shared" si="1"/>
        <v>0.5</v>
      </c>
      <c r="C6" s="3">
        <f t="shared" si="0"/>
        <v>0.5</v>
      </c>
      <c r="D6" s="3">
        <f t="shared" si="0"/>
        <v>0.5</v>
      </c>
      <c r="E6" s="4">
        <f>ROUNDUP(NumberSites[[#This Row],[NumberPotentialSites]]*(1-NumberSites[[#This Row],[SuccessRate_Desktop]]),0)</f>
        <v>1</v>
      </c>
      <c r="F6" s="4">
        <f>ROUNDUP(NumberSites[[#This Row],[NumberSites_AfterDesktop]]*(1-NumberSites[[#This Row],[SuccessRate_Initial]]),)</f>
        <v>1</v>
      </c>
      <c r="G6" s="4">
        <f>ROUNDUP(NumberSites[[#This Row],[NumberSites_AfterInitial]]*(1-NumberSites[[#This Row],[SuccessRate_Detailed]]),)</f>
        <v>1</v>
      </c>
    </row>
    <row r="7" spans="1:7" x14ac:dyDescent="0.25">
      <c r="A7" s="3">
        <v>1</v>
      </c>
      <c r="B7" s="3">
        <f t="shared" si="1"/>
        <v>0.5</v>
      </c>
      <c r="C7" s="3">
        <f t="shared" si="0"/>
        <v>0.5</v>
      </c>
      <c r="D7" s="3">
        <f t="shared" si="0"/>
        <v>0.5</v>
      </c>
      <c r="E7" s="4">
        <f>ROUNDUP(NumberSites[[#This Row],[NumberPotentialSites]]*(1-NumberSites[[#This Row],[SuccessRate_Desktop]]),0)</f>
        <v>1</v>
      </c>
      <c r="F7" s="4">
        <f>ROUNDUP(NumberSites[[#This Row],[NumberSites_AfterDesktop]]*(1-NumberSites[[#This Row],[SuccessRate_Initial]]),)</f>
        <v>1</v>
      </c>
      <c r="G7" s="4">
        <f>ROUNDUP(NumberSites[[#This Row],[NumberSites_AfterInitial]]*(1-NumberSites[[#This Row],[SuccessRate_Detailed]]),)</f>
        <v>1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A220-F365-47FD-94EC-155D38854D12}">
  <dimension ref="A1:D7"/>
  <sheetViews>
    <sheetView workbookViewId="0">
      <selection activeCell="B3" sqref="B3:B7"/>
    </sheetView>
  </sheetViews>
  <sheetFormatPr defaultRowHeight="15" x14ac:dyDescent="0.25"/>
  <cols>
    <col min="1" max="1" width="44.7109375" bestFit="1" customWidth="1"/>
    <col min="2" max="2" width="25" bestFit="1" customWidth="1"/>
    <col min="3" max="3" width="39" bestFit="1" customWidth="1"/>
    <col min="4" max="4" width="20.140625" bestFit="1" customWidth="1"/>
  </cols>
  <sheetData>
    <row r="1" spans="1:4" x14ac:dyDescent="0.25">
      <c r="A1" s="6" t="s">
        <v>0</v>
      </c>
      <c r="B1" s="6"/>
      <c r="C1" s="6"/>
      <c r="D1" s="6"/>
    </row>
    <row r="2" spans="1:4" x14ac:dyDescent="0.25">
      <c r="A2" s="1" t="s">
        <v>32</v>
      </c>
      <c r="B2" s="1" t="s">
        <v>34</v>
      </c>
      <c r="C2" s="1" t="s">
        <v>33</v>
      </c>
      <c r="D2" s="1" t="s">
        <v>9</v>
      </c>
    </row>
    <row r="3" spans="1:4" x14ac:dyDescent="0.25">
      <c r="A3">
        <v>2000</v>
      </c>
      <c r="B3">
        <v>200</v>
      </c>
      <c r="C3">
        <v>65</v>
      </c>
      <c r="D3" s="4">
        <f>Desktop[[#This Row],[Desktop_Baseline_AnalysisSoftwareSubscriptions]]
+((Desktop[[#This Row],[Desktop_PerSite_Charts]]+Desktop[[#This Row],[Desktop_PerSite_MetoceanDataPortals]])*NumberSites[[#This Row],[NumberPotentialSites]])</f>
        <v>4650</v>
      </c>
    </row>
    <row r="4" spans="1:4" x14ac:dyDescent="0.25">
      <c r="A4">
        <v>2000</v>
      </c>
      <c r="B4">
        <v>200</v>
      </c>
      <c r="C4">
        <v>65</v>
      </c>
      <c r="D4" s="4">
        <f>Desktop[[#This Row],[Desktop_Baseline_AnalysisSoftwareSubscriptions]]
+((Desktop[[#This Row],[Desktop_PerSite_Charts]]+Desktop[[#This Row],[Desktop_PerSite_MetoceanDataPortals]])*NumberSites[[#This Row],[NumberPotentialSites]])</f>
        <v>4120</v>
      </c>
    </row>
    <row r="5" spans="1:4" x14ac:dyDescent="0.25">
      <c r="A5">
        <v>2000</v>
      </c>
      <c r="B5">
        <v>200</v>
      </c>
      <c r="C5">
        <v>65</v>
      </c>
      <c r="D5" s="4">
        <f>Desktop[[#This Row],[Desktop_Baseline_AnalysisSoftwareSubscriptions]]
+((Desktop[[#This Row],[Desktop_PerSite_Charts]]+Desktop[[#This Row],[Desktop_PerSite_MetoceanDataPortals]])*NumberSites[[#This Row],[NumberPotentialSites]])</f>
        <v>3060</v>
      </c>
    </row>
    <row r="6" spans="1:4" x14ac:dyDescent="0.25">
      <c r="A6">
        <v>2000</v>
      </c>
      <c r="B6">
        <v>200</v>
      </c>
      <c r="C6">
        <v>65</v>
      </c>
      <c r="D6" s="4">
        <f>Desktop[[#This Row],[Desktop_Baseline_AnalysisSoftwareSubscriptions]]
+((Desktop[[#This Row],[Desktop_PerSite_Charts]]+Desktop[[#This Row],[Desktop_PerSite_MetoceanDataPortals]])*NumberSites[[#This Row],[NumberPotentialSites]])</f>
        <v>2530</v>
      </c>
    </row>
    <row r="7" spans="1:4" x14ac:dyDescent="0.25">
      <c r="A7">
        <v>2000</v>
      </c>
      <c r="B7">
        <v>200</v>
      </c>
      <c r="C7">
        <v>65</v>
      </c>
      <c r="D7" s="4">
        <f>Desktop[[#This Row],[Desktop_Baseline_AnalysisSoftwareSubscriptions]]
+((Desktop[[#This Row],[Desktop_PerSite_Charts]]+Desktop[[#This Row],[Desktop_PerSite_MetoceanDataPortals]])*NumberSites[[#This Row],[NumberPotentialSites]])</f>
        <v>2265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8D43-0504-4F00-BB4E-4B1C207DBA46}">
  <dimension ref="A1:J7"/>
  <sheetViews>
    <sheetView topLeftCell="B1" workbookViewId="0">
      <selection activeCell="J3" sqref="J3:J7"/>
    </sheetView>
  </sheetViews>
  <sheetFormatPr defaultRowHeight="15" x14ac:dyDescent="0.25"/>
  <cols>
    <col min="1" max="1" width="28.85546875" bestFit="1" customWidth="1"/>
    <col min="2" max="2" width="31.7109375" bestFit="1" customWidth="1"/>
    <col min="3" max="3" width="21.28515625" bestFit="1" customWidth="1"/>
    <col min="4" max="4" width="25.85546875" bestFit="1" customWidth="1"/>
    <col min="5" max="5" width="33.28515625" bestFit="1" customWidth="1"/>
    <col min="6" max="6" width="35.42578125" bestFit="1" customWidth="1"/>
    <col min="7" max="7" width="17.85546875" bestFit="1" customWidth="1"/>
    <col min="8" max="8" width="29.5703125" bestFit="1" customWidth="1"/>
    <col min="9" max="9" width="34.140625" bestFit="1" customWidth="1"/>
    <col min="10" max="10" width="17.85546875" bestFit="1" customWidth="1"/>
  </cols>
  <sheetData>
    <row r="1" spans="1:10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1" t="s">
        <v>19</v>
      </c>
      <c r="B2" s="1" t="s">
        <v>4</v>
      </c>
      <c r="C2" s="1" t="s">
        <v>5</v>
      </c>
      <c r="D2" s="1" t="s">
        <v>6</v>
      </c>
      <c r="E2" s="1" t="s">
        <v>45</v>
      </c>
      <c r="F2" s="1" t="s">
        <v>54</v>
      </c>
      <c r="G2" s="1" t="s">
        <v>7</v>
      </c>
      <c r="H2" s="1" t="s">
        <v>8</v>
      </c>
      <c r="I2" s="1" t="s">
        <v>25</v>
      </c>
      <c r="J2" s="1" t="s">
        <v>14</v>
      </c>
    </row>
    <row r="3" spans="1:10" x14ac:dyDescent="0.25">
      <c r="A3">
        <v>2</v>
      </c>
      <c r="B3">
        <v>1000</v>
      </c>
      <c r="C3">
        <f>4*100</f>
        <v>400</v>
      </c>
      <c r="D3">
        <f>100</f>
        <v>100</v>
      </c>
      <c r="E3">
        <v>4000</v>
      </c>
      <c r="F3">
        <v>50</v>
      </c>
      <c r="G3">
        <v>500</v>
      </c>
      <c r="H3">
        <v>200</v>
      </c>
      <c r="I3">
        <v>150</v>
      </c>
      <c r="J3" s="5">
        <f>(Initial[[#This Row],[Initial_Cost_Drifters]]+Initial[[#This Row],[Initial_Costs_SonarBuoys]]+Initial[[#This Row],[Initial_Cost_SingleBeamMFSonar]]+Initial[[#This Row],[Initial_Cost_CTD]]+Initial[[#This Row],[Initial_Cost_SchmidtHammer]]+Initial[[#This Row],[Initial_Cost_HandheldAnemometer]])
+((Initial[[#This Row],[Initial_Cost_VesselHire_PerDay]]*Initial[[#This Row],[Initial_SurveyDuration_Days]])
+(Initial[[#This Row],[Initial_Cost_DropCamHire_PerDay]]*Initial[[#This Row],[Initial_SurveyDuration_Days]])
*NumberSites[[#This Row],[NumberSites_AfterDesktop]])</f>
        <v>8750</v>
      </c>
    </row>
    <row r="4" spans="1:10" x14ac:dyDescent="0.25">
      <c r="A4">
        <v>2</v>
      </c>
      <c r="B4">
        <v>1000</v>
      </c>
      <c r="C4">
        <f t="shared" ref="C4:C7" si="0">4*100</f>
        <v>400</v>
      </c>
      <c r="D4">
        <f>100</f>
        <v>100</v>
      </c>
      <c r="E4">
        <v>4000</v>
      </c>
      <c r="F4">
        <v>50</v>
      </c>
      <c r="G4">
        <v>500</v>
      </c>
      <c r="H4">
        <v>200</v>
      </c>
      <c r="I4">
        <v>150</v>
      </c>
      <c r="J4" s="5">
        <f>(Initial[[#This Row],[Initial_Cost_Drifters]]+Initial[[#This Row],[Initial_Costs_SonarBuoys]]+Initial[[#This Row],[Initial_Cost_SingleBeamMFSonar]]+Initial[[#This Row],[Initial_Cost_CTD]]+Initial[[#This Row],[Initial_Cost_SchmidtHammer]]+Initial[[#This Row],[Initial_Cost_HandheldAnemometer]])
+((Initial[[#This Row],[Initial_Cost_VesselHire_PerDay]]*Initial[[#This Row],[Initial_SurveyDuration_Days]])
+(Initial[[#This Row],[Initial_Cost_DropCamHire_PerDay]]*Initial[[#This Row],[Initial_SurveyDuration_Days]])
*NumberSites[[#This Row],[NumberSites_AfterDesktop]])</f>
        <v>8450</v>
      </c>
    </row>
    <row r="5" spans="1:10" x14ac:dyDescent="0.25">
      <c r="A5">
        <v>2</v>
      </c>
      <c r="B5">
        <v>1000</v>
      </c>
      <c r="C5">
        <f t="shared" si="0"/>
        <v>400</v>
      </c>
      <c r="D5">
        <f>100</f>
        <v>100</v>
      </c>
      <c r="E5">
        <v>4000</v>
      </c>
      <c r="F5">
        <v>50</v>
      </c>
      <c r="G5">
        <v>500</v>
      </c>
      <c r="H5">
        <v>200</v>
      </c>
      <c r="I5">
        <v>150</v>
      </c>
      <c r="J5" s="5">
        <f>(Initial[[#This Row],[Initial_Cost_Drifters]]+Initial[[#This Row],[Initial_Costs_SonarBuoys]]+Initial[[#This Row],[Initial_Cost_SingleBeamMFSonar]]+Initial[[#This Row],[Initial_Cost_CTD]]+Initial[[#This Row],[Initial_Cost_SchmidtHammer]]+Initial[[#This Row],[Initial_Cost_HandheldAnemometer]])
+((Initial[[#This Row],[Initial_Cost_VesselHire_PerDay]]*Initial[[#This Row],[Initial_SurveyDuration_Days]])
+(Initial[[#This Row],[Initial_Cost_DropCamHire_PerDay]]*Initial[[#This Row],[Initial_SurveyDuration_Days]])
*NumberSites[[#This Row],[NumberSites_AfterDesktop]])</f>
        <v>7850</v>
      </c>
    </row>
    <row r="6" spans="1:10" x14ac:dyDescent="0.25">
      <c r="A6">
        <v>2</v>
      </c>
      <c r="B6">
        <v>1000</v>
      </c>
      <c r="C6">
        <f t="shared" si="0"/>
        <v>400</v>
      </c>
      <c r="D6">
        <f>100</f>
        <v>100</v>
      </c>
      <c r="E6">
        <v>4000</v>
      </c>
      <c r="F6">
        <v>50</v>
      </c>
      <c r="G6">
        <v>500</v>
      </c>
      <c r="H6">
        <v>200</v>
      </c>
      <c r="I6">
        <v>150</v>
      </c>
      <c r="J6" s="5">
        <f>(Initial[[#This Row],[Initial_Cost_Drifters]]+Initial[[#This Row],[Initial_Costs_SonarBuoys]]+Initial[[#This Row],[Initial_Cost_SingleBeamMFSonar]]+Initial[[#This Row],[Initial_Cost_CTD]]+Initial[[#This Row],[Initial_Cost_SchmidtHammer]]+Initial[[#This Row],[Initial_Cost_HandheldAnemometer]])
+((Initial[[#This Row],[Initial_Cost_VesselHire_PerDay]]*Initial[[#This Row],[Initial_SurveyDuration_Days]])
+(Initial[[#This Row],[Initial_Cost_DropCamHire_PerDay]]*Initial[[#This Row],[Initial_SurveyDuration_Days]])
*NumberSites[[#This Row],[NumberSites_AfterDesktop]])</f>
        <v>7550</v>
      </c>
    </row>
    <row r="7" spans="1:10" x14ac:dyDescent="0.25">
      <c r="A7">
        <v>2</v>
      </c>
      <c r="B7">
        <v>1000</v>
      </c>
      <c r="C7">
        <f t="shared" si="0"/>
        <v>400</v>
      </c>
      <c r="D7">
        <f>100</f>
        <v>100</v>
      </c>
      <c r="E7">
        <v>4000</v>
      </c>
      <c r="F7">
        <v>50</v>
      </c>
      <c r="G7">
        <v>500</v>
      </c>
      <c r="H7">
        <v>200</v>
      </c>
      <c r="I7">
        <v>150</v>
      </c>
      <c r="J7" s="5">
        <f>(Initial[[#This Row],[Initial_Cost_Drifters]]+Initial[[#This Row],[Initial_Costs_SonarBuoys]]+Initial[[#This Row],[Initial_Cost_SingleBeamMFSonar]]+Initial[[#This Row],[Initial_Cost_CTD]]+Initial[[#This Row],[Initial_Cost_SchmidtHammer]]+Initial[[#This Row],[Initial_Cost_HandheldAnemometer]])
+((Initial[[#This Row],[Initial_Cost_VesselHire_PerDay]]*Initial[[#This Row],[Initial_SurveyDuration_Days]])
+(Initial[[#This Row],[Initial_Cost_DropCamHire_PerDay]]*Initial[[#This Row],[Initial_SurveyDuration_Days]])
*NumberSites[[#This Row],[NumberSites_AfterDesktop]])</f>
        <v>7550</v>
      </c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5B56-C9EC-4275-8D2A-32EE907A8735}">
  <dimension ref="A1:F7"/>
  <sheetViews>
    <sheetView workbookViewId="0">
      <selection activeCell="F4" sqref="F4"/>
    </sheetView>
  </sheetViews>
  <sheetFormatPr defaultRowHeight="15" x14ac:dyDescent="0.25"/>
  <cols>
    <col min="1" max="1" width="31.28515625" bestFit="1" customWidth="1"/>
    <col min="2" max="2" width="34.28515625" bestFit="1" customWidth="1"/>
    <col min="3" max="3" width="30.7109375" bestFit="1" customWidth="1"/>
    <col min="4" max="4" width="30.85546875" bestFit="1" customWidth="1"/>
    <col min="5" max="5" width="29.28515625" bestFit="1" customWidth="1"/>
    <col min="6" max="6" width="20.42578125" bestFit="1" customWidth="1"/>
  </cols>
  <sheetData>
    <row r="1" spans="1:6" x14ac:dyDescent="0.25">
      <c r="A1" s="6" t="s">
        <v>3</v>
      </c>
      <c r="B1" s="6"/>
      <c r="C1" s="6"/>
      <c r="D1" s="6"/>
      <c r="E1" s="6"/>
      <c r="F1" s="6"/>
    </row>
    <row r="2" spans="1:6" x14ac:dyDescent="0.25">
      <c r="A2" s="1" t="s">
        <v>18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</row>
    <row r="3" spans="1:6" x14ac:dyDescent="0.25">
      <c r="A3">
        <v>4</v>
      </c>
      <c r="B3">
        <v>2000</v>
      </c>
      <c r="C3">
        <v>18000</v>
      </c>
      <c r="D3">
        <v>9000</v>
      </c>
      <c r="E3">
        <v>9000</v>
      </c>
      <c r="F3" s="4">
        <f>((Detailed[[#This Row],[Detailed_Cost_VesselHire_PerDay]]*Detailed[[#This Row],[Detailed_SurveyDuration_Days]])
+Detailed[[#This Row],[Detailed_ADCPSurvey_PerSite]]
+Detailed[[#This Row],[Detailed_BathySurvey_PerSite]]
+Detailed[[#This Row],[Detailed_BedSurvey_PerSite]])
*NumberSites[[#This Row],[NumberSites_AfterInitial]]</f>
        <v>132000</v>
      </c>
    </row>
    <row r="4" spans="1:6" x14ac:dyDescent="0.25">
      <c r="A4">
        <v>4</v>
      </c>
      <c r="B4">
        <v>2000</v>
      </c>
      <c r="C4">
        <v>18000</v>
      </c>
      <c r="D4">
        <v>9000</v>
      </c>
      <c r="E4">
        <v>9000</v>
      </c>
      <c r="F4" s="4">
        <f>((Detailed[[#This Row],[Detailed_Cost_VesselHire_PerDay]]*Detailed[[#This Row],[Detailed_SurveyDuration_Days]])
+Detailed[[#This Row],[Detailed_ADCPSurvey_PerSite]]
+Detailed[[#This Row],[Detailed_BathySurvey_PerSite]]
+Detailed[[#This Row],[Detailed_BedSurvey_PerSite]])
*NumberSites[[#This Row],[NumberSites_AfterInitial]]</f>
        <v>88000</v>
      </c>
    </row>
    <row r="5" spans="1:6" x14ac:dyDescent="0.25">
      <c r="A5">
        <v>4</v>
      </c>
      <c r="B5">
        <v>2000</v>
      </c>
      <c r="C5">
        <v>18000</v>
      </c>
      <c r="D5">
        <v>9000</v>
      </c>
      <c r="E5">
        <v>9000</v>
      </c>
      <c r="F5" s="4">
        <f>((Detailed[[#This Row],[Detailed_Cost_VesselHire_PerDay]]*Detailed[[#This Row],[Detailed_SurveyDuration_Days]])
+Detailed[[#This Row],[Detailed_ADCPSurvey_PerSite]]
+Detailed[[#This Row],[Detailed_BathySurvey_PerSite]]
+Detailed[[#This Row],[Detailed_BedSurvey_PerSite]])
*NumberSites[[#This Row],[NumberSites_AfterInitial]]</f>
        <v>44000</v>
      </c>
    </row>
    <row r="6" spans="1:6" x14ac:dyDescent="0.25">
      <c r="A6">
        <v>4</v>
      </c>
      <c r="B6">
        <v>2000</v>
      </c>
      <c r="C6">
        <v>18000</v>
      </c>
      <c r="D6">
        <v>9000</v>
      </c>
      <c r="E6">
        <v>9000</v>
      </c>
      <c r="F6" s="4">
        <f>((Detailed[[#This Row],[Detailed_Cost_VesselHire_PerDay]]*Detailed[[#This Row],[Detailed_SurveyDuration_Days]])
+Detailed[[#This Row],[Detailed_ADCPSurvey_PerSite]]
+Detailed[[#This Row],[Detailed_BathySurvey_PerSite]]
+Detailed[[#This Row],[Detailed_BedSurvey_PerSite]])
*NumberSites[[#This Row],[NumberSites_AfterInitial]]</f>
        <v>44000</v>
      </c>
    </row>
    <row r="7" spans="1:6" x14ac:dyDescent="0.25">
      <c r="A7">
        <v>4</v>
      </c>
      <c r="B7">
        <v>2000</v>
      </c>
      <c r="C7">
        <v>18000</v>
      </c>
      <c r="D7">
        <v>9000</v>
      </c>
      <c r="E7">
        <v>9000</v>
      </c>
      <c r="F7" s="4">
        <f>((Detailed[[#This Row],[Detailed_Cost_VesselHire_PerDay]]*Detailed[[#This Row],[Detailed_SurveyDuration_Days]])
+Detailed[[#This Row],[Detailed_ADCPSurvey_PerSite]]
+Detailed[[#This Row],[Detailed_BathySurvey_PerSite]]
+Detailed[[#This Row],[Detailed_BedSurvey_PerSite]])
*NumberSites[[#This Row],[NumberSites_AfterInitial]]</f>
        <v>44000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B444-FF80-4F5F-885C-1A363A9E3C69}">
  <dimension ref="B1:L7"/>
  <sheetViews>
    <sheetView tabSelected="1" workbookViewId="0">
      <selection activeCell="B5" sqref="B5"/>
    </sheetView>
  </sheetViews>
  <sheetFormatPr defaultRowHeight="15" x14ac:dyDescent="0.25"/>
  <cols>
    <col min="2" max="2" width="35.140625" bestFit="1" customWidth="1"/>
    <col min="3" max="3" width="35.140625" customWidth="1"/>
    <col min="4" max="4" width="53.28515625" bestFit="1" customWidth="1"/>
    <col min="5" max="5" width="38.140625" bestFit="1" customWidth="1"/>
    <col min="6" max="6" width="56.140625" bestFit="1" customWidth="1"/>
    <col min="7" max="7" width="30.85546875" bestFit="1" customWidth="1"/>
    <col min="8" max="8" width="29.28515625" bestFit="1" customWidth="1"/>
    <col min="9" max="9" width="28.140625" bestFit="1" customWidth="1"/>
    <col min="10" max="10" width="29.5703125" bestFit="1" customWidth="1"/>
    <col min="11" max="11" width="34.140625" bestFit="1" customWidth="1"/>
    <col min="12" max="12" width="25.5703125" bestFit="1" customWidth="1"/>
    <col min="13" max="13" width="15.5703125" bestFit="1" customWidth="1"/>
    <col min="14" max="14" width="27.28515625" bestFit="1" customWidth="1"/>
    <col min="15" max="15" width="20.42578125" bestFit="1" customWidth="1"/>
    <col min="16" max="16" width="27.28515625" bestFit="1" customWidth="1"/>
  </cols>
  <sheetData>
    <row r="1" spans="2:12" x14ac:dyDescent="0.25">
      <c r="B1" s="6" t="s">
        <v>15</v>
      </c>
      <c r="C1" s="6"/>
      <c r="D1" s="6"/>
      <c r="E1" s="6"/>
      <c r="F1" s="6"/>
      <c r="G1" s="1"/>
      <c r="K1" s="2"/>
      <c r="L1" s="2"/>
    </row>
    <row r="2" spans="2:12" x14ac:dyDescent="0.25">
      <c r="B2" s="1" t="s">
        <v>31</v>
      </c>
      <c r="C2" s="1" t="s">
        <v>16</v>
      </c>
      <c r="D2" s="1" t="s">
        <v>27</v>
      </c>
      <c r="E2" s="1" t="s">
        <v>17</v>
      </c>
      <c r="F2" s="1" t="s">
        <v>26</v>
      </c>
    </row>
    <row r="3" spans="2:12" x14ac:dyDescent="0.25">
      <c r="B3" s="4">
        <f>NumberSites[[#This Row],[NumberPotentialSites]]</f>
        <v>10</v>
      </c>
      <c r="C3" s="4">
        <f>((Detailed[[#This Row],[Detailed_SurveyDuration_Days]]*Detailed[[#This Row],[Detailed_Cost_VesselHire_PerDay]])
+Detailed[[#This Row],[Detailed_ADCPSurvey_PerSite]]
+Detailed[[#This Row],[Detailed_BathySurvey_PerSite]]
+Detailed[[#This Row],[Detailed_BedSurvey_PerSite]])
*NumberSites[[#This Row],[NumberPotentialSites]]</f>
        <v>440000</v>
      </c>
      <c r="D3" s="4">
        <f>ROUND(TotalCost[[#This Row],[StandardSiteAssessment_TotalCost]]/NumberSites[[#This Row],[NumberPotentialSites]],0)</f>
        <v>44000</v>
      </c>
      <c r="E3" s="4">
        <f>Desktop[[#This Row],[Desktop_TotalCost]]
+Initial[[#This Row],[Initial_TotalCost]]
+Detailed[[#This Row],[Detailed_TotalCost]]</f>
        <v>145400</v>
      </c>
      <c r="F3" s="4">
        <f>ROUND(TotalCost[[#This Row],[IncrementalSIteAssessment_TotalCost]]/NumberSites[[#This Row],[NumberPotentialSites]],0)</f>
        <v>14540</v>
      </c>
    </row>
    <row r="4" spans="2:12" x14ac:dyDescent="0.25">
      <c r="B4" s="4">
        <f>NumberSites[[#This Row],[NumberPotentialSites]]</f>
        <v>8</v>
      </c>
      <c r="C4" s="4">
        <f>((Detailed[[#This Row],[Detailed_SurveyDuration_Days]]*Detailed[[#This Row],[Detailed_Cost_VesselHire_PerDay]])
+Detailed[[#This Row],[Detailed_ADCPSurvey_PerSite]]
+Detailed[[#This Row],[Detailed_BathySurvey_PerSite]]
+Detailed[[#This Row],[Detailed_BedSurvey_PerSite]])
*NumberSites[[#This Row],[NumberPotentialSites]]</f>
        <v>352000</v>
      </c>
      <c r="D4" s="4">
        <f>ROUND(TotalCost[[#This Row],[StandardSiteAssessment_TotalCost]]/NumberSites[[#This Row],[NumberPotentialSites]],0)</f>
        <v>44000</v>
      </c>
      <c r="E4" s="4">
        <f>Desktop[[#This Row],[Desktop_TotalCost]]
+Initial[[#This Row],[Initial_TotalCost]]
+Detailed[[#This Row],[Detailed_TotalCost]]</f>
        <v>100570</v>
      </c>
      <c r="F4" s="4">
        <f>ROUND(TotalCost[[#This Row],[IncrementalSIteAssessment_TotalCost]]/NumberSites[[#This Row],[NumberPotentialSites]],0)</f>
        <v>12571</v>
      </c>
    </row>
    <row r="5" spans="2:12" x14ac:dyDescent="0.25">
      <c r="B5" s="4">
        <f>NumberSites[[#This Row],[NumberPotentialSites]]</f>
        <v>4</v>
      </c>
      <c r="C5" s="4">
        <f>((Detailed[[#This Row],[Detailed_SurveyDuration_Days]]*Detailed[[#This Row],[Detailed_Cost_VesselHire_PerDay]])
+Detailed[[#This Row],[Detailed_ADCPSurvey_PerSite]]
+Detailed[[#This Row],[Detailed_BathySurvey_PerSite]]
+Detailed[[#This Row],[Detailed_BedSurvey_PerSite]])
*NumberSites[[#This Row],[NumberPotentialSites]]</f>
        <v>176000</v>
      </c>
      <c r="D5" s="4">
        <f>ROUND(TotalCost[[#This Row],[StandardSiteAssessment_TotalCost]]/NumberSites[[#This Row],[NumberPotentialSites]],0)</f>
        <v>44000</v>
      </c>
      <c r="E5" s="4">
        <f>Desktop[[#This Row],[Desktop_TotalCost]]
+Initial[[#This Row],[Initial_TotalCost]]
+Detailed[[#This Row],[Detailed_TotalCost]]</f>
        <v>54910</v>
      </c>
      <c r="F5" s="4">
        <f>ROUND(TotalCost[[#This Row],[IncrementalSIteAssessment_TotalCost]]/NumberSites[[#This Row],[NumberPotentialSites]],0)</f>
        <v>13728</v>
      </c>
    </row>
    <row r="6" spans="2:12" x14ac:dyDescent="0.25">
      <c r="B6" s="4">
        <f>NumberSites[[#This Row],[NumberPotentialSites]]</f>
        <v>2</v>
      </c>
      <c r="C6" s="4">
        <f>((Detailed[[#This Row],[Detailed_SurveyDuration_Days]]*Detailed[[#This Row],[Detailed_Cost_VesselHire_PerDay]])
+Detailed[[#This Row],[Detailed_ADCPSurvey_PerSite]]
+Detailed[[#This Row],[Detailed_BathySurvey_PerSite]]
+Detailed[[#This Row],[Detailed_BedSurvey_PerSite]])
*NumberSites[[#This Row],[NumberPotentialSites]]</f>
        <v>88000</v>
      </c>
      <c r="D6" s="4">
        <f>ROUND(TotalCost[[#This Row],[StandardSiteAssessment_TotalCost]]/NumberSites[[#This Row],[NumberPotentialSites]],0)</f>
        <v>44000</v>
      </c>
      <c r="E6" s="4">
        <f>Desktop[[#This Row],[Desktop_TotalCost]]
+Initial[[#This Row],[Initial_TotalCost]]
+Detailed[[#This Row],[Detailed_TotalCost]]</f>
        <v>54080</v>
      </c>
      <c r="F6" s="4">
        <f>ROUND(TotalCost[[#This Row],[IncrementalSIteAssessment_TotalCost]]/NumberSites[[#This Row],[NumberPotentialSites]],0)</f>
        <v>27040</v>
      </c>
    </row>
    <row r="7" spans="2:12" x14ac:dyDescent="0.25">
      <c r="B7" s="4">
        <f>NumberSites[[#This Row],[NumberPotentialSites]]</f>
        <v>1</v>
      </c>
      <c r="C7" s="4">
        <f>((Detailed[[#This Row],[Detailed_SurveyDuration_Days]]*Detailed[[#This Row],[Detailed_Cost_VesselHire_PerDay]])
+Detailed[[#This Row],[Detailed_ADCPSurvey_PerSite]]
+Detailed[[#This Row],[Detailed_BathySurvey_PerSite]]
+Detailed[[#This Row],[Detailed_BedSurvey_PerSite]])
*NumberSites[[#This Row],[NumberPotentialSites]]</f>
        <v>44000</v>
      </c>
      <c r="D7" s="4">
        <f>ROUND(TotalCost[[#This Row],[StandardSiteAssessment_TotalCost]]/NumberSites[[#This Row],[NumberPotentialSites]],0)</f>
        <v>44000</v>
      </c>
      <c r="E7" s="4">
        <f>Desktop[[#This Row],[Desktop_TotalCost]]
+Initial[[#This Row],[Initial_TotalCost]]
+Detailed[[#This Row],[Detailed_TotalCost]]</f>
        <v>53815</v>
      </c>
      <c r="F7" s="4">
        <f>ROUND(TotalCost[[#This Row],[IncrementalSIteAssessment_TotalCost]]/NumberSites[[#This Row],[NumberPotentialSites]],0)</f>
        <v>53815</v>
      </c>
    </row>
  </sheetData>
  <mergeCells count="1">
    <mergeCell ref="B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4915-5F38-49A2-A76B-61B13F84C41D}">
  <dimension ref="B1:D22"/>
  <sheetViews>
    <sheetView workbookViewId="0">
      <selection activeCell="C4" sqref="C4"/>
    </sheetView>
  </sheetViews>
  <sheetFormatPr defaultRowHeight="15" x14ac:dyDescent="0.25"/>
  <cols>
    <col min="2" max="2" width="29.7109375" bestFit="1" customWidth="1"/>
    <col min="3" max="3" width="17.28515625" bestFit="1" customWidth="1"/>
    <col min="4" max="4" width="13.140625" customWidth="1"/>
  </cols>
  <sheetData>
    <row r="1" spans="2:4" x14ac:dyDescent="0.25">
      <c r="B1" s="1" t="s">
        <v>35</v>
      </c>
      <c r="C1" s="1" t="s">
        <v>37</v>
      </c>
      <c r="D1" s="1" t="s">
        <v>40</v>
      </c>
    </row>
    <row r="2" spans="2:4" x14ac:dyDescent="0.25">
      <c r="B2" t="s">
        <v>36</v>
      </c>
      <c r="C2">
        <v>2000</v>
      </c>
      <c r="D2" t="s">
        <v>41</v>
      </c>
    </row>
    <row r="3" spans="2:4" x14ac:dyDescent="0.25">
      <c r="B3" t="s">
        <v>38</v>
      </c>
      <c r="C3">
        <v>200</v>
      </c>
      <c r="D3" t="s">
        <v>42</v>
      </c>
    </row>
    <row r="4" spans="2:4" x14ac:dyDescent="0.25">
      <c r="B4" t="s">
        <v>39</v>
      </c>
      <c r="C4">
        <v>65</v>
      </c>
      <c r="D4" t="s">
        <v>42</v>
      </c>
    </row>
    <row r="7" spans="2:4" x14ac:dyDescent="0.25">
      <c r="B7" s="1" t="s">
        <v>43</v>
      </c>
      <c r="C7" s="1" t="s">
        <v>37</v>
      </c>
      <c r="D7" s="1" t="s">
        <v>40</v>
      </c>
    </row>
    <row r="8" spans="2:4" x14ac:dyDescent="0.25">
      <c r="B8" t="s">
        <v>46</v>
      </c>
      <c r="C8">
        <f>4*(60+40)</f>
        <v>400</v>
      </c>
      <c r="D8" t="s">
        <v>41</v>
      </c>
    </row>
    <row r="9" spans="2:4" x14ac:dyDescent="0.25">
      <c r="B9" t="s">
        <v>47</v>
      </c>
      <c r="C9">
        <v>100</v>
      </c>
      <c r="D9" t="s">
        <v>41</v>
      </c>
    </row>
    <row r="10" spans="2:4" x14ac:dyDescent="0.25">
      <c r="B10" t="s">
        <v>48</v>
      </c>
      <c r="C10">
        <v>4000</v>
      </c>
      <c r="D10" t="s">
        <v>41</v>
      </c>
    </row>
    <row r="11" spans="2:4" x14ac:dyDescent="0.25">
      <c r="B11" t="s">
        <v>49</v>
      </c>
      <c r="C11">
        <v>500</v>
      </c>
      <c r="D11" t="s">
        <v>41</v>
      </c>
    </row>
    <row r="12" spans="2:4" x14ac:dyDescent="0.25">
      <c r="B12" t="s">
        <v>50</v>
      </c>
      <c r="C12">
        <v>200</v>
      </c>
      <c r="D12" t="s">
        <v>41</v>
      </c>
    </row>
    <row r="13" spans="2:4" x14ac:dyDescent="0.25">
      <c r="B13" t="s">
        <v>53</v>
      </c>
      <c r="C13">
        <v>50</v>
      </c>
      <c r="D13" t="s">
        <v>41</v>
      </c>
    </row>
    <row r="14" spans="2:4" x14ac:dyDescent="0.25">
      <c r="B14" t="s">
        <v>51</v>
      </c>
      <c r="C14">
        <f>2*1000</f>
        <v>2000</v>
      </c>
      <c r="D14" t="s">
        <v>42</v>
      </c>
    </row>
    <row r="15" spans="2:4" x14ac:dyDescent="0.25">
      <c r="B15" t="s">
        <v>52</v>
      </c>
      <c r="C15">
        <v>300</v>
      </c>
      <c r="D15" t="s">
        <v>42</v>
      </c>
    </row>
    <row r="18" spans="2:4" x14ac:dyDescent="0.25">
      <c r="B18" s="1" t="s">
        <v>44</v>
      </c>
      <c r="C18" s="1" t="s">
        <v>37</v>
      </c>
      <c r="D18" s="1" t="s">
        <v>40</v>
      </c>
    </row>
    <row r="19" spans="2:4" x14ac:dyDescent="0.25">
      <c r="B19" t="s">
        <v>55</v>
      </c>
      <c r="C19">
        <v>8000</v>
      </c>
      <c r="D19" t="s">
        <v>42</v>
      </c>
    </row>
    <row r="20" spans="2:4" x14ac:dyDescent="0.25">
      <c r="B20" t="s">
        <v>56</v>
      </c>
      <c r="C20">
        <v>18000</v>
      </c>
      <c r="D20" t="s">
        <v>42</v>
      </c>
    </row>
    <row r="21" spans="2:4" x14ac:dyDescent="0.25">
      <c r="B21" t="s">
        <v>57</v>
      </c>
      <c r="C21">
        <v>9000</v>
      </c>
      <c r="D21" t="s">
        <v>42</v>
      </c>
    </row>
    <row r="22" spans="2:4" x14ac:dyDescent="0.25">
      <c r="B22" t="s">
        <v>58</v>
      </c>
      <c r="C22">
        <v>9000</v>
      </c>
      <c r="D22" t="s">
        <v>42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DesktopSurvey</vt:lpstr>
      <vt:lpstr>InitialSurvey</vt:lpstr>
      <vt:lpstr>DetailedSurvey</vt:lpstr>
      <vt:lpstr>SiteAssessmentCosts</vt:lpstr>
      <vt:lpstr>Summary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2020-11-04T16:51:34Z</dcterms:created>
  <dcterms:modified xsi:type="dcterms:W3CDTF">2020-11-14T16:24:14Z</dcterms:modified>
</cp:coreProperties>
</file>