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investing\Analysis\ACE\"/>
    </mc:Choice>
  </mc:AlternateContent>
  <xr:revisionPtr revIDLastSave="0" documentId="13_ncr:1_{4BDE8142-3B37-4210-A977-E702E1B5F09E}" xr6:coauthVersionLast="47" xr6:coauthVersionMax="47" xr10:uidLastSave="{00000000-0000-0000-0000-000000000000}"/>
  <bookViews>
    <workbookView xWindow="-108" yWindow="-108" windowWidth="23256" windowHeight="12456" activeTab="6" xr2:uid="{00000000-000D-0000-FFFF-FFFF00000000}"/>
  </bookViews>
  <sheets>
    <sheet name="Main" sheetId="1" r:id="rId1"/>
    <sheet name="Chart1" sheetId="6" state="hidden" r:id="rId2"/>
    <sheet name="Income Statement" sheetId="2" r:id="rId3"/>
    <sheet name="Balance Sheet" sheetId="3" r:id="rId4"/>
    <sheet name="CashFlow" sheetId="4" r:id="rId5"/>
    <sheet name="Discounted Cash Flows" sheetId="5" r:id="rId6"/>
    <sheet name="ratio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5" l="1"/>
  <c r="G34" i="4"/>
  <c r="F34" i="4"/>
  <c r="E34" i="4"/>
  <c r="D34" i="4"/>
  <c r="C34" i="4"/>
  <c r="G14" i="7"/>
  <c r="F14" i="7"/>
  <c r="E14" i="7"/>
  <c r="D14" i="7"/>
  <c r="C14" i="7"/>
  <c r="E9" i="1"/>
  <c r="E8" i="1"/>
  <c r="E7" i="5"/>
  <c r="C18" i="1"/>
  <c r="E6" i="1"/>
  <c r="C21" i="7" s="1"/>
  <c r="C22" i="7" s="1"/>
  <c r="G17" i="7"/>
  <c r="F17" i="7"/>
  <c r="E17" i="7"/>
  <c r="D17" i="7"/>
  <c r="C17" i="7"/>
  <c r="G16" i="7"/>
  <c r="G18" i="7" s="1"/>
  <c r="F16" i="7"/>
  <c r="F18" i="7" s="1"/>
  <c r="G15" i="7"/>
  <c r="F15" i="7"/>
  <c r="E15" i="7"/>
  <c r="E16" i="7" s="1"/>
  <c r="E18" i="7" s="1"/>
  <c r="D15" i="7"/>
  <c r="D16" i="7" s="1"/>
  <c r="D18" i="7" s="1"/>
  <c r="C15" i="7"/>
  <c r="C16" i="7" s="1"/>
  <c r="C18" i="7" s="1"/>
  <c r="C19" i="7" s="1"/>
  <c r="G10" i="7" l="1"/>
  <c r="F10" i="7"/>
  <c r="E10" i="7"/>
  <c r="D10" i="7"/>
  <c r="C10" i="7"/>
  <c r="G9" i="7"/>
  <c r="G11" i="7" s="1"/>
  <c r="F9" i="7"/>
  <c r="F11" i="7" s="1"/>
  <c r="E9" i="7"/>
  <c r="E11" i="7" s="1"/>
  <c r="D9" i="7"/>
  <c r="D11" i="7" s="1"/>
  <c r="C9" i="7"/>
  <c r="C11" i="7" s="1"/>
  <c r="C12" i="7" s="1"/>
  <c r="F8" i="7"/>
  <c r="E8" i="7"/>
  <c r="D8" i="7"/>
  <c r="G4" i="7"/>
  <c r="F4" i="7"/>
  <c r="E4" i="7"/>
  <c r="D4" i="7"/>
  <c r="C4" i="7"/>
  <c r="G3" i="7"/>
  <c r="G5" i="7" s="1"/>
  <c r="F3" i="7"/>
  <c r="F5" i="7" s="1"/>
  <c r="E3" i="7"/>
  <c r="E5" i="7" s="1"/>
  <c r="D3" i="7"/>
  <c r="D5" i="7" s="1"/>
  <c r="C3" i="7"/>
  <c r="C5" i="7" s="1"/>
  <c r="C6" i="7" s="1"/>
  <c r="G2" i="7"/>
  <c r="G8" i="7" s="1"/>
  <c r="F2" i="7"/>
  <c r="E2" i="7"/>
  <c r="D2" i="7"/>
  <c r="C2" i="7"/>
  <c r="C8" i="7" s="1"/>
  <c r="F24" i="5" l="1"/>
  <c r="F22" i="5"/>
  <c r="F7" i="5"/>
  <c r="AF39" i="2" l="1"/>
  <c r="AE39" i="2"/>
  <c r="AD39" i="2"/>
  <c r="AF40" i="2"/>
  <c r="AA39" i="2"/>
  <c r="Z39" i="2"/>
  <c r="AA40" i="2" s="1"/>
  <c r="Y39" i="2"/>
  <c r="X39" i="2"/>
  <c r="V39" i="2"/>
  <c r="U39" i="2"/>
  <c r="T39" i="2"/>
  <c r="S39" i="2"/>
  <c r="V40" i="2" s="1"/>
  <c r="Q40" i="2"/>
  <c r="N39" i="2"/>
  <c r="L40" i="2"/>
  <c r="I39" i="2"/>
  <c r="Q39" i="2"/>
  <c r="P39" i="2"/>
  <c r="O39" i="2"/>
  <c r="J39" i="2"/>
  <c r="K39" i="2"/>
  <c r="L39" i="2"/>
  <c r="C40" i="2"/>
  <c r="F39" i="2"/>
  <c r="E39" i="2"/>
  <c r="D39" i="2"/>
  <c r="C39" i="2"/>
  <c r="D7" i="5"/>
  <c r="D8" i="5" l="1"/>
  <c r="E8" i="5" s="1"/>
  <c r="G7" i="5"/>
  <c r="D9" i="5" l="1"/>
  <c r="E9" i="5" s="1"/>
  <c r="D10" i="5" l="1"/>
  <c r="E10" i="5" s="1"/>
  <c r="D11" i="5" l="1"/>
  <c r="E11" i="5" s="1"/>
  <c r="D12" i="5" l="1"/>
  <c r="E12" i="5" s="1"/>
  <c r="D13" i="5" l="1"/>
  <c r="E13" i="5" s="1"/>
  <c r="D14" i="5" l="1"/>
  <c r="E14" i="5" s="1"/>
  <c r="D15" i="5" l="1"/>
  <c r="E15" i="5" s="1"/>
  <c r="D16" i="5" l="1"/>
  <c r="E16" i="5" s="1"/>
  <c r="F18" i="5" l="1"/>
  <c r="F19" i="5" s="1"/>
  <c r="C8" i="5" l="1"/>
  <c r="C37" i="4"/>
  <c r="C36" i="4"/>
  <c r="F35" i="4"/>
  <c r="E35" i="4"/>
  <c r="D35" i="4"/>
  <c r="C35" i="4"/>
  <c r="G33" i="4"/>
  <c r="F33" i="4"/>
  <c r="E33" i="4"/>
  <c r="D33" i="4"/>
  <c r="C33" i="4"/>
  <c r="C23" i="4"/>
  <c r="C22" i="4"/>
  <c r="C17" i="4"/>
  <c r="C7" i="4"/>
  <c r="C5" i="4"/>
  <c r="C6" i="4" s="1"/>
  <c r="C18" i="4"/>
  <c r="G13" i="4"/>
  <c r="G23" i="4"/>
  <c r="G22" i="4"/>
  <c r="G24" i="4" s="1"/>
  <c r="G17" i="4"/>
  <c r="G16" i="4"/>
  <c r="G15" i="4"/>
  <c r="G7" i="4"/>
  <c r="G8" i="4" s="1"/>
  <c r="G10" i="4" s="1"/>
  <c r="G5" i="4"/>
  <c r="F23" i="4"/>
  <c r="F22" i="4"/>
  <c r="F17" i="4"/>
  <c r="F13" i="4"/>
  <c r="F7" i="4"/>
  <c r="F5" i="4"/>
  <c r="F6" i="4" s="1"/>
  <c r="E23" i="4"/>
  <c r="E24" i="4" s="1"/>
  <c r="E22" i="4"/>
  <c r="E18" i="4"/>
  <c r="E17" i="4"/>
  <c r="E7" i="4"/>
  <c r="E5" i="4"/>
  <c r="E6" i="4" s="1"/>
  <c r="D27" i="4"/>
  <c r="D24" i="4"/>
  <c r="D23" i="4"/>
  <c r="D22" i="4"/>
  <c r="D19" i="4"/>
  <c r="D18" i="4"/>
  <c r="D17" i="4"/>
  <c r="D10" i="4"/>
  <c r="D8" i="4"/>
  <c r="D7" i="4"/>
  <c r="G6" i="4"/>
  <c r="D6" i="4"/>
  <c r="D5" i="4"/>
  <c r="I23" i="3"/>
  <c r="H23" i="3"/>
  <c r="H24" i="3"/>
  <c r="C54" i="3"/>
  <c r="C59" i="3" s="1"/>
  <c r="C48" i="3"/>
  <c r="C37" i="3"/>
  <c r="C39" i="3" s="1"/>
  <c r="F30" i="3"/>
  <c r="E30" i="3"/>
  <c r="D30" i="3"/>
  <c r="C30" i="3"/>
  <c r="C10" i="3"/>
  <c r="C17" i="3" s="1"/>
  <c r="G54" i="3"/>
  <c r="G59" i="3" s="1"/>
  <c r="D48" i="3"/>
  <c r="E48" i="3"/>
  <c r="F48" i="3"/>
  <c r="G48" i="3"/>
  <c r="G28" i="3"/>
  <c r="G30" i="3" s="1"/>
  <c r="G16" i="3"/>
  <c r="G17" i="3" s="1"/>
  <c r="F54" i="3"/>
  <c r="F59" i="3" s="1"/>
  <c r="F28" i="3"/>
  <c r="E54" i="3"/>
  <c r="E59" i="3" s="1"/>
  <c r="G37" i="3"/>
  <c r="G39" i="3" s="1"/>
  <c r="F37" i="3"/>
  <c r="F39" i="3" s="1"/>
  <c r="E37" i="3"/>
  <c r="E39" i="3" s="1"/>
  <c r="F17" i="3"/>
  <c r="E17" i="3"/>
  <c r="D54" i="3"/>
  <c r="D59" i="3" s="1"/>
  <c r="D37" i="3"/>
  <c r="D39" i="3" s="1"/>
  <c r="D17" i="3"/>
  <c r="AA33" i="2"/>
  <c r="Z33" i="2"/>
  <c r="AA30" i="2"/>
  <c r="Z30" i="2"/>
  <c r="AF18" i="2"/>
  <c r="AE18" i="2"/>
  <c r="AD18" i="2"/>
  <c r="AC18" i="2"/>
  <c r="AF7" i="2"/>
  <c r="AF33" i="2" s="1"/>
  <c r="AE7" i="2"/>
  <c r="AD7" i="2"/>
  <c r="AC7" i="2"/>
  <c r="G11" i="2"/>
  <c r="F11" i="2"/>
  <c r="E11" i="2"/>
  <c r="D11" i="2"/>
  <c r="C11" i="2"/>
  <c r="AA18" i="2"/>
  <c r="Z18" i="2"/>
  <c r="Y18" i="2"/>
  <c r="X18" i="2"/>
  <c r="AA7" i="2"/>
  <c r="Z7" i="2"/>
  <c r="Y7" i="2"/>
  <c r="X7" i="2"/>
  <c r="V18" i="2"/>
  <c r="U18" i="2"/>
  <c r="T18" i="2"/>
  <c r="S18" i="2"/>
  <c r="V7" i="2"/>
  <c r="V33" i="2" s="1"/>
  <c r="U7" i="2"/>
  <c r="T7" i="2"/>
  <c r="S7" i="2"/>
  <c r="S33" i="2" s="1"/>
  <c r="G27" i="2"/>
  <c r="F27" i="2"/>
  <c r="E27" i="2"/>
  <c r="D27" i="2"/>
  <c r="C27" i="2"/>
  <c r="G24" i="2"/>
  <c r="F24" i="2"/>
  <c r="E24" i="2"/>
  <c r="D24" i="2"/>
  <c r="G23" i="2"/>
  <c r="F23" i="2"/>
  <c r="E23" i="2"/>
  <c r="D23" i="2"/>
  <c r="C24" i="2"/>
  <c r="C23" i="2"/>
  <c r="G5" i="2"/>
  <c r="F5" i="2"/>
  <c r="E5" i="2"/>
  <c r="D5" i="2"/>
  <c r="C5" i="2"/>
  <c r="Q18" i="2"/>
  <c r="P18" i="2"/>
  <c r="O18" i="2"/>
  <c r="N18" i="2"/>
  <c r="Q7" i="2"/>
  <c r="Q33" i="2" s="1"/>
  <c r="P7" i="2"/>
  <c r="P33" i="2" s="1"/>
  <c r="O7" i="2"/>
  <c r="O33" i="2" s="1"/>
  <c r="N7" i="2"/>
  <c r="N33" i="2" s="1"/>
  <c r="N34" i="2" s="1"/>
  <c r="I18" i="2"/>
  <c r="J18" i="2"/>
  <c r="K18" i="2"/>
  <c r="I7" i="2"/>
  <c r="I30" i="2" s="1"/>
  <c r="J7" i="2"/>
  <c r="J30" i="2" s="1"/>
  <c r="K7" i="2"/>
  <c r="K30" i="2" s="1"/>
  <c r="L18" i="2"/>
  <c r="L7" i="2"/>
  <c r="L30" i="2" s="1"/>
  <c r="G17" i="2"/>
  <c r="F17" i="2"/>
  <c r="G16" i="2"/>
  <c r="F16" i="2"/>
  <c r="G15" i="2"/>
  <c r="F15" i="2"/>
  <c r="G14" i="2"/>
  <c r="F14" i="2"/>
  <c r="G13" i="2"/>
  <c r="F13" i="2"/>
  <c r="G12" i="2"/>
  <c r="F12" i="2"/>
  <c r="G10" i="2"/>
  <c r="F10" i="2"/>
  <c r="E17" i="2"/>
  <c r="E16" i="2"/>
  <c r="E15" i="2"/>
  <c r="E14" i="2"/>
  <c r="E13" i="2"/>
  <c r="E12" i="2"/>
  <c r="E10" i="2"/>
  <c r="D17" i="2"/>
  <c r="D16" i="2"/>
  <c r="D15" i="2"/>
  <c r="D14" i="2"/>
  <c r="D13" i="2"/>
  <c r="D12" i="2"/>
  <c r="D10" i="2"/>
  <c r="C17" i="2"/>
  <c r="C16" i="2"/>
  <c r="C15" i="2"/>
  <c r="C14" i="2"/>
  <c r="C13" i="2"/>
  <c r="C12" i="2"/>
  <c r="C10" i="2"/>
  <c r="G6" i="2"/>
  <c r="F6" i="2"/>
  <c r="E6" i="2"/>
  <c r="D6" i="2"/>
  <c r="C6" i="2"/>
  <c r="C9" i="5" l="1"/>
  <c r="F8" i="5"/>
  <c r="G8" i="5" s="1"/>
  <c r="C24" i="4"/>
  <c r="C19" i="4"/>
  <c r="C8" i="4"/>
  <c r="C10" i="4" s="1"/>
  <c r="G19" i="4"/>
  <c r="G27" i="4" s="1"/>
  <c r="G31" i="4" s="1"/>
  <c r="F29" i="4" s="1"/>
  <c r="F24" i="4"/>
  <c r="F19" i="4"/>
  <c r="F8" i="4"/>
  <c r="F10" i="4" s="1"/>
  <c r="E19" i="4"/>
  <c r="E8" i="4"/>
  <c r="E10" i="4" s="1"/>
  <c r="C60" i="3"/>
  <c r="C62" i="3"/>
  <c r="E60" i="3"/>
  <c r="C31" i="3"/>
  <c r="C63" i="3" s="1"/>
  <c r="E31" i="3"/>
  <c r="D60" i="3"/>
  <c r="F31" i="3"/>
  <c r="D31" i="3"/>
  <c r="G60" i="3"/>
  <c r="G62" i="3" s="1"/>
  <c r="E62" i="3"/>
  <c r="E63" i="3" s="1"/>
  <c r="D62" i="3"/>
  <c r="D63" i="3" s="1"/>
  <c r="G31" i="3"/>
  <c r="F60" i="3"/>
  <c r="F62" i="3" s="1"/>
  <c r="F63" i="3" s="1"/>
  <c r="AC20" i="2"/>
  <c r="AC26" i="2" s="1"/>
  <c r="AC28" i="2" s="1"/>
  <c r="AD20" i="2"/>
  <c r="AD26" i="2" s="1"/>
  <c r="AD36" i="2" s="1"/>
  <c r="AE20" i="2"/>
  <c r="AE26" i="2" s="1"/>
  <c r="AE36" i="2" s="1"/>
  <c r="AC30" i="2"/>
  <c r="AD30" i="2"/>
  <c r="AE30" i="2"/>
  <c r="AD33" i="2"/>
  <c r="AE33" i="2"/>
  <c r="AF20" i="2"/>
  <c r="AF26" i="2" s="1"/>
  <c r="AF30" i="2"/>
  <c r="G7" i="2"/>
  <c r="G30" i="2" s="1"/>
  <c r="AC33" i="2"/>
  <c r="AC34" i="2" s="1"/>
  <c r="X20" i="2"/>
  <c r="X26" i="2" s="1"/>
  <c r="X33" i="2"/>
  <c r="X30" i="2"/>
  <c r="Y20" i="2"/>
  <c r="Y26" i="2" s="1"/>
  <c r="Y30" i="2"/>
  <c r="Y33" i="2"/>
  <c r="AA20" i="2"/>
  <c r="AA26" i="2" s="1"/>
  <c r="I31" i="2"/>
  <c r="Z20" i="2"/>
  <c r="Z26" i="2" s="1"/>
  <c r="F7" i="2"/>
  <c r="F30" i="2" s="1"/>
  <c r="V20" i="2"/>
  <c r="V26" i="2" s="1"/>
  <c r="I33" i="2"/>
  <c r="V30" i="2"/>
  <c r="S20" i="2"/>
  <c r="S26" i="2" s="1"/>
  <c r="S28" i="2" s="1"/>
  <c r="S30" i="2"/>
  <c r="T20" i="2"/>
  <c r="T26" i="2" s="1"/>
  <c r="T36" i="2" s="1"/>
  <c r="T30" i="2"/>
  <c r="T33" i="2"/>
  <c r="E7" i="2"/>
  <c r="E33" i="2" s="1"/>
  <c r="U30" i="2"/>
  <c r="U20" i="2"/>
  <c r="U26" i="2" s="1"/>
  <c r="U33" i="2"/>
  <c r="N30" i="2"/>
  <c r="O30" i="2"/>
  <c r="P30" i="2"/>
  <c r="Q30" i="2"/>
  <c r="O20" i="2"/>
  <c r="O26" i="2" s="1"/>
  <c r="P20" i="2"/>
  <c r="P26" i="2" s="1"/>
  <c r="Q20" i="2"/>
  <c r="Q26" i="2" s="1"/>
  <c r="G18" i="2"/>
  <c r="J33" i="2"/>
  <c r="D18" i="2"/>
  <c r="K33" i="2"/>
  <c r="L33" i="2"/>
  <c r="D7" i="2"/>
  <c r="N20" i="2"/>
  <c r="N26" i="2" s="1"/>
  <c r="K20" i="2"/>
  <c r="K26" i="2" s="1"/>
  <c r="F18" i="2"/>
  <c r="L20" i="2"/>
  <c r="L26" i="2" s="1"/>
  <c r="I20" i="2"/>
  <c r="I26" i="2" s="1"/>
  <c r="J20" i="2"/>
  <c r="J26" i="2" s="1"/>
  <c r="C7" i="2"/>
  <c r="E18" i="2"/>
  <c r="C18" i="2"/>
  <c r="D7" i="1"/>
  <c r="D10" i="1" l="1"/>
  <c r="E10" i="1" s="1"/>
  <c r="E7" i="1"/>
  <c r="C10" i="5"/>
  <c r="F9" i="5"/>
  <c r="G9" i="5" s="1"/>
  <c r="C27" i="4"/>
  <c r="F27" i="4"/>
  <c r="F31" i="4" s="1"/>
  <c r="E29" i="4" s="1"/>
  <c r="E27" i="4"/>
  <c r="G63" i="3"/>
  <c r="AC36" i="2"/>
  <c r="AC37" i="2" s="1"/>
  <c r="AD28" i="2"/>
  <c r="AE28" i="2"/>
  <c r="G20" i="2"/>
  <c r="G26" i="2" s="1"/>
  <c r="G28" i="2" s="1"/>
  <c r="Z28" i="2"/>
  <c r="Z36" i="2"/>
  <c r="AA28" i="2"/>
  <c r="AA36" i="2"/>
  <c r="G33" i="2"/>
  <c r="AC31" i="2"/>
  <c r="X31" i="2"/>
  <c r="X34" i="2"/>
  <c r="AF36" i="2"/>
  <c r="AF28" i="2"/>
  <c r="X28" i="2"/>
  <c r="X36" i="2"/>
  <c r="Y28" i="2"/>
  <c r="Y36" i="2"/>
  <c r="S34" i="2"/>
  <c r="F20" i="2"/>
  <c r="F26" i="2" s="1"/>
  <c r="F36" i="2" s="1"/>
  <c r="F33" i="2"/>
  <c r="D20" i="2"/>
  <c r="D26" i="2" s="1"/>
  <c r="D33" i="2"/>
  <c r="D30" i="2"/>
  <c r="S31" i="2"/>
  <c r="C20" i="2"/>
  <c r="C26" i="2" s="1"/>
  <c r="C33" i="2"/>
  <c r="C30" i="2"/>
  <c r="N31" i="2"/>
  <c r="I34" i="2"/>
  <c r="E30" i="2"/>
  <c r="C31" i="2" s="1"/>
  <c r="V36" i="2"/>
  <c r="V28" i="2"/>
  <c r="S36" i="2"/>
  <c r="E20" i="2"/>
  <c r="E26" i="2" s="1"/>
  <c r="E36" i="2" s="1"/>
  <c r="T28" i="2"/>
  <c r="U36" i="2"/>
  <c r="U28" i="2"/>
  <c r="N28" i="2"/>
  <c r="N36" i="2"/>
  <c r="Q28" i="2"/>
  <c r="Q36" i="2"/>
  <c r="P28" i="2"/>
  <c r="P36" i="2"/>
  <c r="O28" i="2"/>
  <c r="O36" i="2"/>
  <c r="J28" i="2"/>
  <c r="J36" i="2"/>
  <c r="I28" i="2"/>
  <c r="I36" i="2"/>
  <c r="L28" i="2"/>
  <c r="L36" i="2"/>
  <c r="K28" i="2"/>
  <c r="K36" i="2"/>
  <c r="C11" i="5" l="1"/>
  <c r="F10" i="5"/>
  <c r="G10" i="5" s="1"/>
  <c r="E31" i="4"/>
  <c r="D29" i="4" s="1"/>
  <c r="D31" i="4" s="1"/>
  <c r="C29" i="4" s="1"/>
  <c r="C31" i="4" s="1"/>
  <c r="C34" i="2"/>
  <c r="G36" i="2"/>
  <c r="C37" i="2" s="1"/>
  <c r="X37" i="2"/>
  <c r="F28" i="2"/>
  <c r="C36" i="2"/>
  <c r="C28" i="2"/>
  <c r="N37" i="2"/>
  <c r="D36" i="2"/>
  <c r="D28" i="2"/>
  <c r="I37" i="2"/>
  <c r="S37" i="2"/>
  <c r="E28" i="2"/>
  <c r="C12" i="5" l="1"/>
  <c r="F11" i="5"/>
  <c r="G11" i="5" s="1"/>
  <c r="C13" i="5" l="1"/>
  <c r="F12" i="5"/>
  <c r="G12" i="5" s="1"/>
  <c r="C14" i="5" l="1"/>
  <c r="F13" i="5"/>
  <c r="G13" i="5" s="1"/>
  <c r="C15" i="5" l="1"/>
  <c r="F14" i="5"/>
  <c r="G14" i="5" s="1"/>
  <c r="C16" i="5" l="1"/>
  <c r="F16" i="5" s="1"/>
  <c r="G16" i="5" s="1"/>
  <c r="F15" i="5"/>
  <c r="G15" i="5" s="1"/>
  <c r="F20" i="5" l="1"/>
  <c r="F21" i="5" s="1"/>
  <c r="F23" i="5" s="1"/>
  <c r="F25" i="5" s="1"/>
  <c r="D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tc={06FC632C-14AD-46B4-837A-24978F3676C9}</author>
    <author>tc={2F6A4BD0-0670-4630-B6B1-4AE23F3BE0C2}</author>
  </authors>
  <commentList>
    <comment ref="D12" authorId="0" shapeId="0" xr:uid="{06FC632C-14AD-46B4-837A-24978F3676C9}">
      <text>
        <t xml:space="preserve">[Threaded comment]
Your version of Excel allows you to read this threaded comment; however, any edits to it will get removed if the file is opened in a newer version of Excel. Learn more: https://go.microsoft.com/fwlink/?linkid=870924
Comment:
    Major portion of Investment in alternative investment fund and bonds
</t>
      </text>
    </comment>
    <comment ref="D36" authorId="1" shapeId="0" xr:uid="{2F6A4BD0-0670-4630-B6B1-4AE23F3BE0C2}">
      <text>
        <t>[Threaded comment]
Your version of Excel allows you to read this threaded comment; however, any edits to it will get removed if the file is opened in a newer version of Excel. Learn more: https://go.microsoft.com/fwlink/?linkid=870924
Comment:
    Retained Earning is 90008.14.</t>
      </text>
    </comment>
  </commentList>
</comments>
</file>

<file path=xl/sharedStrings.xml><?xml version="1.0" encoding="utf-8"?>
<sst xmlns="http://schemas.openxmlformats.org/spreadsheetml/2006/main" count="198" uniqueCount="171">
  <si>
    <t>Action Construction Equipment Ltd</t>
  </si>
  <si>
    <t>Price</t>
  </si>
  <si>
    <t>Shares</t>
  </si>
  <si>
    <t xml:space="preserve">Market Cap </t>
  </si>
  <si>
    <t>Cash</t>
  </si>
  <si>
    <t>Debt</t>
  </si>
  <si>
    <t>Enterprice Value</t>
  </si>
  <si>
    <t>Action Construction Equipment Ltd is engaged in the business of manufacturing and marketing of hydraulic mobile cranes, mobile tower cranes, material handling equipment like forklifts, road construction equipment like backhoe loaders, compactors, motor graders and agriculture equipment like tractors, harvesters, rotavators, etc.</t>
  </si>
  <si>
    <t>It was incorporated in 1995 and concluded its IPO in 2006.</t>
  </si>
  <si>
    <t>2024-25</t>
  </si>
  <si>
    <t>2023-24</t>
  </si>
  <si>
    <t>2022-23</t>
  </si>
  <si>
    <t>2021-22</t>
  </si>
  <si>
    <t>2020-21</t>
  </si>
  <si>
    <t>Income</t>
  </si>
  <si>
    <t>Revenue from operations</t>
  </si>
  <si>
    <t>Other Income</t>
  </si>
  <si>
    <t>Total Income</t>
  </si>
  <si>
    <t>Expenses</t>
  </si>
  <si>
    <t>Cost of Material Consumed</t>
  </si>
  <si>
    <t>Changes in Inventories</t>
  </si>
  <si>
    <t>Employee Benefit expense</t>
  </si>
  <si>
    <t>Finance Cost</t>
  </si>
  <si>
    <t>Depreciation and amort. Cost</t>
  </si>
  <si>
    <t>Impairment</t>
  </si>
  <si>
    <t>Other Expenses</t>
  </si>
  <si>
    <t>Total Expenses</t>
  </si>
  <si>
    <t>Q1 2025</t>
  </si>
  <si>
    <t>Q2  2025</t>
  </si>
  <si>
    <t>Q3 2025</t>
  </si>
  <si>
    <t>Q4 2025</t>
  </si>
  <si>
    <t>Q1 2024</t>
  </si>
  <si>
    <t>Q2  2024</t>
  </si>
  <si>
    <t>Q3 2024</t>
  </si>
  <si>
    <t>Q4 2024</t>
  </si>
  <si>
    <t>Q1 2023</t>
  </si>
  <si>
    <t>Q2 2023</t>
  </si>
  <si>
    <t>Q3 2023</t>
  </si>
  <si>
    <t>Q4 2023</t>
  </si>
  <si>
    <t>Q1 2022</t>
  </si>
  <si>
    <t>Q2  2022</t>
  </si>
  <si>
    <t>Q3 2022</t>
  </si>
  <si>
    <t>Q4 2022</t>
  </si>
  <si>
    <t>Q1 2021</t>
  </si>
  <si>
    <t>Q2  2021</t>
  </si>
  <si>
    <t>Q3 2021</t>
  </si>
  <si>
    <t>Q4 2021</t>
  </si>
  <si>
    <t>Profit Before Tax</t>
  </si>
  <si>
    <t>Tax Expenses</t>
  </si>
  <si>
    <t>- Current Tax</t>
  </si>
  <si>
    <t>- Deffered Tax</t>
  </si>
  <si>
    <t>Profit After Tax</t>
  </si>
  <si>
    <t>EPS</t>
  </si>
  <si>
    <t>No of Shares</t>
  </si>
  <si>
    <t xml:space="preserve">Margin for Opeartions </t>
  </si>
  <si>
    <t>Gross Margin</t>
  </si>
  <si>
    <t>Net Margin</t>
  </si>
  <si>
    <t>Average</t>
  </si>
  <si>
    <t>Purchase of Stock in Trade</t>
  </si>
  <si>
    <t>Particulars</t>
  </si>
  <si>
    <t>Assets</t>
  </si>
  <si>
    <t>Non-Current Assets</t>
  </si>
  <si>
    <t>PPE</t>
  </si>
  <si>
    <t>CWIP</t>
  </si>
  <si>
    <t>Investment Property</t>
  </si>
  <si>
    <t>Right to use assets</t>
  </si>
  <si>
    <t>Intangible assets</t>
  </si>
  <si>
    <t>Financial assets</t>
  </si>
  <si>
    <t>- Investments</t>
  </si>
  <si>
    <t>- Other Financial assets</t>
  </si>
  <si>
    <t>Other Tax assets (net)</t>
  </si>
  <si>
    <t>Deferred tax assets</t>
  </si>
  <si>
    <t>Other non-current assets</t>
  </si>
  <si>
    <t>Total Non-current assets</t>
  </si>
  <si>
    <t>Current Assets</t>
  </si>
  <si>
    <t>Inventories</t>
  </si>
  <si>
    <t>i. Investments</t>
  </si>
  <si>
    <t>ii. Trade receivable</t>
  </si>
  <si>
    <t>iii. Cash and cash Eq</t>
  </si>
  <si>
    <t>iv. Bank balances other than (iii) above</t>
  </si>
  <si>
    <t>v. Loans</t>
  </si>
  <si>
    <t>vi. Other Financial assets</t>
  </si>
  <si>
    <t>Other current assets</t>
  </si>
  <si>
    <t>Total Current assets</t>
  </si>
  <si>
    <t>Total Assets</t>
  </si>
  <si>
    <t>Equity and Liabilities</t>
  </si>
  <si>
    <t xml:space="preserve">Equity </t>
  </si>
  <si>
    <t>Equity Share Capital</t>
  </si>
  <si>
    <t>Other Equity</t>
  </si>
  <si>
    <t>Equity attributable to owners of the company</t>
  </si>
  <si>
    <t>Non-controlling Interest</t>
  </si>
  <si>
    <t>Total Equity</t>
  </si>
  <si>
    <t>Liabilities</t>
  </si>
  <si>
    <t>Non-current liabilities</t>
  </si>
  <si>
    <t>Financial Liabilities</t>
  </si>
  <si>
    <t>Provisions</t>
  </si>
  <si>
    <t>Deffered tax laibilities</t>
  </si>
  <si>
    <t>Total Noncurrent assets</t>
  </si>
  <si>
    <t>Current Liabilities</t>
  </si>
  <si>
    <t>Financial liabilities</t>
  </si>
  <si>
    <t>i. Borrowing</t>
  </si>
  <si>
    <t>ii. Lease Liabilities</t>
  </si>
  <si>
    <t>iii. Trade Payable</t>
  </si>
  <si>
    <t>iv. Other Financial laibilities</t>
  </si>
  <si>
    <t>Other current liabilites</t>
  </si>
  <si>
    <t>Current tax liabilities</t>
  </si>
  <si>
    <t>Total current liabilities</t>
  </si>
  <si>
    <t>Total Liabilities</t>
  </si>
  <si>
    <t>Total Equity and Liabilities</t>
  </si>
  <si>
    <t>In Lacs</t>
  </si>
  <si>
    <t>Assets Held For Sale</t>
  </si>
  <si>
    <t>Profit before Tax</t>
  </si>
  <si>
    <t>Adjustment regarding non cash Items</t>
  </si>
  <si>
    <t>Opearing profit before WC adjustment</t>
  </si>
  <si>
    <t>WC Adjustment</t>
  </si>
  <si>
    <t>Cash Generated from operating activities</t>
  </si>
  <si>
    <t>Income Tax Paid</t>
  </si>
  <si>
    <t>Net Cash from Operating activities(A)</t>
  </si>
  <si>
    <t>Cash flow from investing activities</t>
  </si>
  <si>
    <t>Proceeds from sale of PPE</t>
  </si>
  <si>
    <t>Purchase of investments</t>
  </si>
  <si>
    <t>Proceeds from sale of investments</t>
  </si>
  <si>
    <t>Investment in banks, and other proceeds</t>
  </si>
  <si>
    <t>Dividend received and other income</t>
  </si>
  <si>
    <t>Net cash used in investing activities (B)</t>
  </si>
  <si>
    <t>Cash flows from financing</t>
  </si>
  <si>
    <t>Net Borrowing</t>
  </si>
  <si>
    <t>Payment to finance costs and other cash expenses</t>
  </si>
  <si>
    <t>Opening Cash</t>
  </si>
  <si>
    <t>Closing Balance</t>
  </si>
  <si>
    <t>Free Cash Flows</t>
  </si>
  <si>
    <t>Growth percentage</t>
  </si>
  <si>
    <t xml:space="preserve">In Average </t>
  </si>
  <si>
    <t>Net cash used in from financing activities ©</t>
  </si>
  <si>
    <t>Net increase / decrease in cash (A+B+C+D)</t>
  </si>
  <si>
    <t>Effect of Exchange difference on translation of foreign currency (D)</t>
  </si>
  <si>
    <t>Years</t>
  </si>
  <si>
    <t>Cash Flow</t>
  </si>
  <si>
    <t>Growth Cash Flow</t>
  </si>
  <si>
    <t>Discount Rate</t>
  </si>
  <si>
    <t>Discounted Cash Flow</t>
  </si>
  <si>
    <t>Growth Rate</t>
  </si>
  <si>
    <t>Growth rate in Net Profit</t>
  </si>
  <si>
    <t>(For 1st 5 years)</t>
  </si>
  <si>
    <t>Terminal Rate</t>
  </si>
  <si>
    <t>Terminal Value Cash Flow</t>
  </si>
  <si>
    <t xml:space="preserve">Terminal Value </t>
  </si>
  <si>
    <t>Sum of all 10 years</t>
  </si>
  <si>
    <t>Total Present Value</t>
  </si>
  <si>
    <t>Intrinsic Value</t>
  </si>
  <si>
    <t>IN Lacs</t>
  </si>
  <si>
    <t>Current Share Price</t>
  </si>
  <si>
    <t>MOS</t>
  </si>
  <si>
    <t>Return on capital employed</t>
  </si>
  <si>
    <t>EBIT</t>
  </si>
  <si>
    <t>Capital Employed</t>
  </si>
  <si>
    <t>ROCE %</t>
  </si>
  <si>
    <t>Return on Equity</t>
  </si>
  <si>
    <t>PAT</t>
  </si>
  <si>
    <t>Equity</t>
  </si>
  <si>
    <t>Tax Rate</t>
  </si>
  <si>
    <t>NOPAT</t>
  </si>
  <si>
    <t>Invested Capital</t>
  </si>
  <si>
    <t>Return on Invested Capital</t>
  </si>
  <si>
    <t>ROE %</t>
  </si>
  <si>
    <t>ROIC %</t>
  </si>
  <si>
    <t>PE Ratio</t>
  </si>
  <si>
    <t>PEG Ratio</t>
  </si>
  <si>
    <t>To have the peg ratio under 1, the company has to earn with the growth of 36.7% approx</t>
  </si>
  <si>
    <t>(For last 2 years) &amp; 10% for last 3 years</t>
  </si>
  <si>
    <t>% of FCF on total 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</si>
</sst>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family val="2"/>
      <scheme val="minor"/>
    </font>
    <font>
      <sz val="11"/>
      <color theme="1"/>
      <name val="Calibri"/>
      <family val="2"/>
      <scheme val="minor"/>
    </font>
    <font>
      <b/>
      <sz val="24"/>
      <color rgb="FF22222F"/>
      <name val="Arial"/>
      <family val="2"/>
    </font>
    <font>
      <sz val="11"/>
      <color theme="1"/>
      <name val="Times New Roman"/>
      <family val="1"/>
    </font>
    <font>
      <b/>
      <sz val="11"/>
      <color theme="1"/>
      <name val="Times New Roman"/>
      <family val="1"/>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43" fontId="3" fillId="0" borderId="0" xfId="1" applyFont="1"/>
    <xf numFmtId="43" fontId="4" fillId="0" borderId="1" xfId="1" applyFont="1" applyBorder="1"/>
    <xf numFmtId="43" fontId="4" fillId="0" borderId="10" xfId="1" applyFont="1" applyBorder="1"/>
    <xf numFmtId="43" fontId="3" fillId="0" borderId="10" xfId="1" applyFont="1" applyBorder="1"/>
    <xf numFmtId="43" fontId="4" fillId="0" borderId="11" xfId="1" applyFont="1" applyBorder="1"/>
    <xf numFmtId="43" fontId="3" fillId="0" borderId="10" xfId="1" quotePrefix="1" applyFont="1" applyBorder="1"/>
    <xf numFmtId="10" fontId="3" fillId="0" borderId="10" xfId="1" applyNumberFormat="1" applyFont="1" applyBorder="1"/>
    <xf numFmtId="43" fontId="3" fillId="0" borderId="11" xfId="1" applyFont="1" applyBorder="1"/>
    <xf numFmtId="0" fontId="3" fillId="0" borderId="0" xfId="1" applyNumberFormat="1" applyFont="1"/>
    <xf numFmtId="10" fontId="4" fillId="0" borderId="1" xfId="1" applyNumberFormat="1" applyFont="1" applyBorder="1"/>
    <xf numFmtId="43" fontId="3" fillId="0" borderId="10" xfId="1" applyFont="1" applyBorder="1" applyAlignment="1">
      <alignment wrapText="1"/>
    </xf>
    <xf numFmtId="43" fontId="4" fillId="0" borderId="10" xfId="1" applyFont="1" applyBorder="1" applyAlignment="1">
      <alignment wrapText="1"/>
    </xf>
    <xf numFmtId="43" fontId="3" fillId="0" borderId="10" xfId="1" applyFont="1" applyFill="1" applyBorder="1"/>
    <xf numFmtId="43" fontId="4" fillId="0" borderId="12" xfId="1" applyFont="1" applyBorder="1"/>
    <xf numFmtId="43" fontId="4" fillId="0" borderId="1" xfId="1" applyFont="1" applyBorder="1" applyAlignment="1">
      <alignment wrapText="1"/>
    </xf>
    <xf numFmtId="43" fontId="3" fillId="0" borderId="1" xfId="1" applyFont="1" applyBorder="1"/>
    <xf numFmtId="10" fontId="3" fillId="0" borderId="1" xfId="1" applyNumberFormat="1" applyFont="1" applyBorder="1"/>
    <xf numFmtId="0" fontId="3" fillId="0" borderId="0" xfId="0" applyFont="1"/>
    <xf numFmtId="43" fontId="3" fillId="0" borderId="0" xfId="0" applyNumberFormat="1" applyFont="1"/>
    <xf numFmtId="0" fontId="4" fillId="0" borderId="0" xfId="0" applyFont="1"/>
    <xf numFmtId="0" fontId="3" fillId="0" borderId="1" xfId="0" applyFont="1" applyBorder="1" applyAlignment="1">
      <alignment wrapText="1"/>
    </xf>
    <xf numFmtId="0" fontId="4" fillId="0" borderId="1" xfId="0" applyFont="1" applyBorder="1"/>
    <xf numFmtId="43" fontId="4" fillId="0" borderId="1" xfId="0" applyNumberFormat="1" applyFont="1" applyBorder="1"/>
    <xf numFmtId="0" fontId="4" fillId="0" borderId="1" xfId="0" applyFont="1" applyBorder="1" applyAlignment="1">
      <alignment wrapText="1"/>
    </xf>
    <xf numFmtId="0" fontId="3" fillId="0" borderId="1" xfId="0" applyFont="1" applyBorder="1"/>
    <xf numFmtId="9" fontId="3" fillId="0" borderId="1" xfId="0" applyNumberFormat="1" applyFont="1" applyBorder="1"/>
    <xf numFmtId="43" fontId="3" fillId="0" borderId="1" xfId="0" applyNumberFormat="1" applyFont="1" applyBorder="1"/>
    <xf numFmtId="10" fontId="3" fillId="0" borderId="0" xfId="0" applyNumberFormat="1" applyFont="1"/>
    <xf numFmtId="10" fontId="3" fillId="0" borderId="1" xfId="0" applyNumberFormat="1" applyFont="1" applyBorder="1"/>
    <xf numFmtId="10" fontId="4" fillId="0" borderId="1" xfId="0" applyNumberFormat="1" applyFont="1" applyBorder="1"/>
    <xf numFmtId="2" fontId="3" fillId="0" borderId="0" xfId="1" applyNumberFormat="1" applyFont="1"/>
    <xf numFmtId="0" fontId="4" fillId="0" borderId="14" xfId="0" applyFont="1" applyBorder="1"/>
    <xf numFmtId="0" fontId="4" fillId="0" borderId="15" xfId="0" applyFont="1" applyBorder="1"/>
    <xf numFmtId="0" fontId="4" fillId="0" borderId="13" xfId="0" applyFont="1" applyBorder="1"/>
    <xf numFmtId="0" fontId="5" fillId="0" borderId="14" xfId="0" applyFont="1" applyBorder="1"/>
    <xf numFmtId="0" fontId="5" fillId="0" borderId="15" xfId="0" applyFont="1" applyBorder="1"/>
    <xf numFmtId="0" fontId="5" fillId="0" borderId="13" xfId="0" applyFont="1" applyBorder="1"/>
    <xf numFmtId="0" fontId="5" fillId="0" borderId="2" xfId="0" applyFont="1" applyBorder="1" applyAlignment="1">
      <alignment wrapText="1"/>
    </xf>
    <xf numFmtId="0" fontId="5" fillId="0" borderId="8"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5" fillId="0" borderId="5" xfId="0" applyFont="1" applyBorder="1" applyAlignment="1">
      <alignment wrapText="1"/>
    </xf>
    <xf numFmtId="0" fontId="5" fillId="0" borderId="6" xfId="0" applyFont="1" applyBorder="1"/>
    <xf numFmtId="0" fontId="5" fillId="0" borderId="9" xfId="0" applyFont="1" applyBorder="1"/>
    <xf numFmtId="0" fontId="5" fillId="0" borderId="7" xfId="0" applyFont="1" applyBorder="1"/>
    <xf numFmtId="43" fontId="5" fillId="0" borderId="1" xfId="1" applyFont="1" applyBorder="1"/>
    <xf numFmtId="43" fontId="5" fillId="0" borderId="1" xfId="1" applyFont="1" applyBorder="1" applyAlignment="1">
      <alignment horizontal="right"/>
    </xf>
    <xf numFmtId="0" fontId="2" fillId="0" borderId="14" xfId="0" applyFont="1" applyBorder="1" applyAlignment="1">
      <alignment vertical="center"/>
    </xf>
    <xf numFmtId="0" fontId="2" fillId="0" borderId="15" xfId="0" applyFont="1" applyBorder="1" applyAlignment="1">
      <alignment vertical="center"/>
    </xf>
    <xf numFmtId="0" fontId="2" fillId="0" borderId="13" xfId="0" applyFont="1" applyBorder="1" applyAlignment="1">
      <alignment vertical="center"/>
    </xf>
    <xf numFmtId="0" fontId="2" fillId="0" borderId="0" xfId="0" applyFont="1" applyBorder="1" applyAlignment="1">
      <alignment vertical="center"/>
    </xf>
    <xf numFmtId="0" fontId="2" fillId="0" borderId="15" xfId="0" applyFont="1" applyBorder="1" applyAlignment="1">
      <alignment vertical="center"/>
    </xf>
    <xf numFmtId="0" fontId="3" fillId="0" borderId="1" xfId="0" applyFont="1" applyBorder="1" applyAlignment="1"/>
    <xf numFmtId="10" fontId="5" fillId="2" borderId="1" xfId="1" applyNumberFormat="1"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17/10/relationships/person" Target="persons/perso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Statement'!$B$4</c:f>
              <c:strCache>
                <c:ptCount val="1"/>
                <c:pt idx="0">
                  <c:v> Income </c:v>
                </c:pt>
              </c:strCache>
            </c:strRef>
          </c:tx>
          <c:spPr>
            <a:solidFill>
              <a:schemeClr val="accent1"/>
            </a:solidFill>
            <a:ln>
              <a:noFill/>
            </a:ln>
            <a:effectLst/>
          </c:spPr>
          <c:invertIfNegative val="0"/>
          <c:cat>
            <c:strRef>
              <c:f>'Income Statement'!$C$3:$G$3</c:f>
              <c:strCache>
                <c:ptCount val="5"/>
                <c:pt idx="0">
                  <c:v> 2024-25 </c:v>
                </c:pt>
                <c:pt idx="1">
                  <c:v> 2023-24 </c:v>
                </c:pt>
                <c:pt idx="2">
                  <c:v> 2022-23 </c:v>
                </c:pt>
                <c:pt idx="3">
                  <c:v> 2021-22 </c:v>
                </c:pt>
                <c:pt idx="4">
                  <c:v> 2020-21 </c:v>
                </c:pt>
              </c:strCache>
            </c:strRef>
          </c:cat>
          <c:val>
            <c:numRef>
              <c:f>'Income Statement'!$C$4:$G$4</c:f>
              <c:numCache>
                <c:formatCode>_(* #,##0.00_);_(* \(#,##0.00\);_(* "-"??_);_(@_)</c:formatCode>
                <c:ptCount val="5"/>
              </c:numCache>
            </c:numRef>
          </c:val>
          <c:extLst>
            <c:ext xmlns:c16="http://schemas.microsoft.com/office/drawing/2014/chart" uri="{C3380CC4-5D6E-409C-BE32-E72D297353CC}">
              <c16:uniqueId val="{00000000-7A46-4DAC-A324-D086BD2C6A2E}"/>
            </c:ext>
          </c:extLst>
        </c:ser>
        <c:ser>
          <c:idx val="1"/>
          <c:order val="1"/>
          <c:tx>
            <c:strRef>
              <c:f>'Income Statement'!$B$5</c:f>
              <c:strCache>
                <c:ptCount val="1"/>
                <c:pt idx="0">
                  <c:v> Revenue from operations </c:v>
                </c:pt>
              </c:strCache>
            </c:strRef>
          </c:tx>
          <c:spPr>
            <a:solidFill>
              <a:schemeClr val="accent2"/>
            </a:solidFill>
            <a:ln>
              <a:noFill/>
            </a:ln>
            <a:effectLst/>
          </c:spPr>
          <c:invertIfNegative val="0"/>
          <c:cat>
            <c:strRef>
              <c:f>'Income Statement'!$C$3:$G$3</c:f>
              <c:strCache>
                <c:ptCount val="5"/>
                <c:pt idx="0">
                  <c:v> 2024-25 </c:v>
                </c:pt>
                <c:pt idx="1">
                  <c:v> 2023-24 </c:v>
                </c:pt>
                <c:pt idx="2">
                  <c:v> 2022-23 </c:v>
                </c:pt>
                <c:pt idx="3">
                  <c:v> 2021-22 </c:v>
                </c:pt>
                <c:pt idx="4">
                  <c:v> 2020-21 </c:v>
                </c:pt>
              </c:strCache>
            </c:strRef>
          </c:cat>
          <c:val>
            <c:numRef>
              <c:f>'Income Statement'!$C$5:$G$5</c:f>
              <c:numCache>
                <c:formatCode>_(* #,##0.00_);_(* \(#,##0.00\);_(* "-"??_);_(@_)</c:formatCode>
                <c:ptCount val="5"/>
                <c:pt idx="0">
                  <c:v>332705</c:v>
                </c:pt>
                <c:pt idx="1">
                  <c:v>291380</c:v>
                </c:pt>
                <c:pt idx="2">
                  <c:v>215968</c:v>
                </c:pt>
                <c:pt idx="3">
                  <c:v>162957.5</c:v>
                </c:pt>
                <c:pt idx="4">
                  <c:v>122715.38999999998</c:v>
                </c:pt>
              </c:numCache>
            </c:numRef>
          </c:val>
          <c:extLst>
            <c:ext xmlns:c16="http://schemas.microsoft.com/office/drawing/2014/chart" uri="{C3380CC4-5D6E-409C-BE32-E72D297353CC}">
              <c16:uniqueId val="{00000001-7A46-4DAC-A324-D086BD2C6A2E}"/>
            </c:ext>
          </c:extLst>
        </c:ser>
        <c:ser>
          <c:idx val="2"/>
          <c:order val="2"/>
          <c:tx>
            <c:strRef>
              <c:f>'Income Statement'!$B$6</c:f>
              <c:strCache>
                <c:ptCount val="1"/>
                <c:pt idx="0">
                  <c:v> Other Income </c:v>
                </c:pt>
              </c:strCache>
            </c:strRef>
          </c:tx>
          <c:spPr>
            <a:solidFill>
              <a:schemeClr val="accent3"/>
            </a:solidFill>
            <a:ln>
              <a:noFill/>
            </a:ln>
            <a:effectLst/>
          </c:spPr>
          <c:invertIfNegative val="0"/>
          <c:cat>
            <c:strRef>
              <c:f>'Income Statement'!$C$3:$G$3</c:f>
              <c:strCache>
                <c:ptCount val="5"/>
                <c:pt idx="0">
                  <c:v> 2024-25 </c:v>
                </c:pt>
                <c:pt idx="1">
                  <c:v> 2023-24 </c:v>
                </c:pt>
                <c:pt idx="2">
                  <c:v> 2022-23 </c:v>
                </c:pt>
                <c:pt idx="3">
                  <c:v> 2021-22 </c:v>
                </c:pt>
                <c:pt idx="4">
                  <c:v> 2020-21 </c:v>
                </c:pt>
              </c:strCache>
            </c:strRef>
          </c:cat>
          <c:val>
            <c:numRef>
              <c:f>'Income Statement'!$C$6:$G$6</c:f>
              <c:numCache>
                <c:formatCode>_(* #,##0.00_);_(* \(#,##0.00\);_(* "-"??_);_(@_)</c:formatCode>
                <c:ptCount val="5"/>
                <c:pt idx="0">
                  <c:v>10032</c:v>
                </c:pt>
                <c:pt idx="1">
                  <c:v>7710</c:v>
                </c:pt>
                <c:pt idx="2">
                  <c:v>4112</c:v>
                </c:pt>
                <c:pt idx="3">
                  <c:v>1501.6599999999999</c:v>
                </c:pt>
                <c:pt idx="4">
                  <c:v>1530.6799999999998</c:v>
                </c:pt>
              </c:numCache>
            </c:numRef>
          </c:val>
          <c:extLst>
            <c:ext xmlns:c16="http://schemas.microsoft.com/office/drawing/2014/chart" uri="{C3380CC4-5D6E-409C-BE32-E72D297353CC}">
              <c16:uniqueId val="{00000002-7A46-4DAC-A324-D086BD2C6A2E}"/>
            </c:ext>
          </c:extLst>
        </c:ser>
        <c:ser>
          <c:idx val="3"/>
          <c:order val="3"/>
          <c:tx>
            <c:strRef>
              <c:f>'Income Statement'!$B$7</c:f>
              <c:strCache>
                <c:ptCount val="1"/>
                <c:pt idx="0">
                  <c:v> Total Income </c:v>
                </c:pt>
              </c:strCache>
            </c:strRef>
          </c:tx>
          <c:spPr>
            <a:solidFill>
              <a:schemeClr val="accent4"/>
            </a:solidFill>
            <a:ln>
              <a:noFill/>
            </a:ln>
            <a:effectLst/>
          </c:spPr>
          <c:invertIfNegative val="0"/>
          <c:cat>
            <c:strRef>
              <c:f>'Income Statement'!$C$3:$G$3</c:f>
              <c:strCache>
                <c:ptCount val="5"/>
                <c:pt idx="0">
                  <c:v> 2024-25 </c:v>
                </c:pt>
                <c:pt idx="1">
                  <c:v> 2023-24 </c:v>
                </c:pt>
                <c:pt idx="2">
                  <c:v> 2022-23 </c:v>
                </c:pt>
                <c:pt idx="3">
                  <c:v> 2021-22 </c:v>
                </c:pt>
                <c:pt idx="4">
                  <c:v> 2020-21 </c:v>
                </c:pt>
              </c:strCache>
            </c:strRef>
          </c:cat>
          <c:val>
            <c:numRef>
              <c:f>'Income Statement'!$C$7:$G$7</c:f>
              <c:numCache>
                <c:formatCode>_(* #,##0.00_);_(* \(#,##0.00\);_(* "-"??_);_(@_)</c:formatCode>
                <c:ptCount val="5"/>
                <c:pt idx="0">
                  <c:v>342737</c:v>
                </c:pt>
                <c:pt idx="1">
                  <c:v>299090</c:v>
                </c:pt>
                <c:pt idx="2">
                  <c:v>220080</c:v>
                </c:pt>
                <c:pt idx="3">
                  <c:v>164459.15999999997</c:v>
                </c:pt>
                <c:pt idx="4">
                  <c:v>124246.07</c:v>
                </c:pt>
              </c:numCache>
            </c:numRef>
          </c:val>
          <c:extLst>
            <c:ext xmlns:c16="http://schemas.microsoft.com/office/drawing/2014/chart" uri="{C3380CC4-5D6E-409C-BE32-E72D297353CC}">
              <c16:uniqueId val="{00000003-7A46-4DAC-A324-D086BD2C6A2E}"/>
            </c:ext>
          </c:extLst>
        </c:ser>
        <c:dLbls>
          <c:showLegendKey val="0"/>
          <c:showVal val="0"/>
          <c:showCatName val="0"/>
          <c:showSerName val="0"/>
          <c:showPercent val="0"/>
          <c:showBubbleSize val="0"/>
        </c:dLbls>
        <c:gapWidth val="219"/>
        <c:overlap val="-27"/>
        <c:axId val="729856880"/>
        <c:axId val="729857360"/>
      </c:barChart>
      <c:catAx>
        <c:axId val="72985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57360"/>
        <c:crosses val="autoZero"/>
        <c:auto val="1"/>
        <c:lblAlgn val="ctr"/>
        <c:lblOffset val="100"/>
        <c:noMultiLvlLbl val="0"/>
      </c:catAx>
      <c:valAx>
        <c:axId val="7298573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5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246BA99-4D48-4FC1-ADD0-11DBCED776AE}">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4AD844B9-5270-B6D1-B4F1-05D5D61C27F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Jay Sejpal" id="{3F574C96-4705-4FC1-A106-90C5327FCAAE}" userId="e30c0a576d4a885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5-06-03T16:50:24.84" personId="{3F574C96-4705-4FC1-A106-90C5327FCAAE}" id="{06FC632C-14AD-46B4-837A-24978F3676C9}">
    <text xml:space="preserve">Major portion of Investment in alternative investment fund and bonds
</text>
  </threadedComment>
  <threadedComment ref="D36" dT="2025-06-03T16:52:34.35" personId="{3F574C96-4705-4FC1-A106-90C5327FCAAE}" id="{2F6A4BD0-0670-4630-B6B1-4AE23F3BE0C2}">
    <text>Retained Earning is 90008.14.</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L18"/>
  <sheetViews>
    <sheetView workbookViewId="0">
      <selection activeCell="J10" sqref="J10"/>
    </sheetView>
  </sheetViews>
  <sheetFormatPr defaultRowHeight="14.4" x14ac:dyDescent="0.3"/>
  <cols>
    <col min="3" max="3" width="16.21875" bestFit="1" customWidth="1"/>
    <col min="4" max="4" width="10.44140625" bestFit="1" customWidth="1"/>
    <col min="5" max="5" width="13.109375" bestFit="1" customWidth="1"/>
  </cols>
  <sheetData>
    <row r="3" spans="2:12" ht="30" x14ac:dyDescent="0.3">
      <c r="B3" s="49" t="s">
        <v>0</v>
      </c>
      <c r="C3" s="50"/>
      <c r="D3" s="50"/>
      <c r="E3" s="50"/>
      <c r="F3" s="50"/>
      <c r="G3" s="50"/>
      <c r="H3" s="50"/>
      <c r="I3" s="50"/>
      <c r="J3" s="51"/>
    </row>
    <row r="4" spans="2:12" ht="17.399999999999999" customHeight="1" x14ac:dyDescent="0.3">
      <c r="B4" s="52"/>
      <c r="C4" s="53"/>
      <c r="D4" s="53"/>
      <c r="E4" s="53"/>
      <c r="F4" s="52"/>
      <c r="G4" s="52"/>
      <c r="H4" s="52"/>
      <c r="I4" s="52"/>
      <c r="J4" s="52"/>
    </row>
    <row r="5" spans="2:12" x14ac:dyDescent="0.3">
      <c r="C5" s="47" t="s">
        <v>1</v>
      </c>
      <c r="D5" s="47">
        <v>1262</v>
      </c>
      <c r="E5" s="48" t="s">
        <v>109</v>
      </c>
    </row>
    <row r="6" spans="2:12" x14ac:dyDescent="0.3">
      <c r="C6" s="47" t="s">
        <v>2</v>
      </c>
      <c r="D6" s="47">
        <v>11.9</v>
      </c>
      <c r="E6" s="48">
        <f>+(D6*10000000)/100000</f>
        <v>1190</v>
      </c>
    </row>
    <row r="7" spans="2:12" x14ac:dyDescent="0.3">
      <c r="C7" s="47" t="s">
        <v>3</v>
      </c>
      <c r="D7" s="47">
        <f>+D5*D6</f>
        <v>15017.800000000001</v>
      </c>
      <c r="E7" s="48">
        <f>+(D7*10000000)/100000</f>
        <v>1501780</v>
      </c>
    </row>
    <row r="8" spans="2:12" x14ac:dyDescent="0.3">
      <c r="C8" s="47" t="s">
        <v>4</v>
      </c>
      <c r="D8" s="47">
        <v>55</v>
      </c>
      <c r="E8" s="48">
        <f>+(D8*10000000)/100000</f>
        <v>5500</v>
      </c>
    </row>
    <row r="9" spans="2:12" x14ac:dyDescent="0.3">
      <c r="C9" s="47" t="s">
        <v>5</v>
      </c>
      <c r="D9" s="47">
        <v>16</v>
      </c>
      <c r="E9" s="48">
        <f>+(D9*10000000)/100000</f>
        <v>1600</v>
      </c>
    </row>
    <row r="10" spans="2:12" x14ac:dyDescent="0.3">
      <c r="C10" s="47" t="s">
        <v>6</v>
      </c>
      <c r="D10" s="47">
        <f>+D7+D9-D8</f>
        <v>14978.800000000001</v>
      </c>
      <c r="E10" s="48">
        <f>+(D10*10000000)/100000</f>
        <v>1497880</v>
      </c>
    </row>
    <row r="11" spans="2:12" x14ac:dyDescent="0.3">
      <c r="C11" s="47" t="s">
        <v>152</v>
      </c>
      <c r="D11" s="55">
        <f>+'Discounted Cash Flows'!F25</f>
        <v>0.19247542851745933</v>
      </c>
      <c r="E11" s="48">
        <v>0</v>
      </c>
    </row>
    <row r="13" spans="2:12" x14ac:dyDescent="0.3">
      <c r="C13" s="38" t="s">
        <v>7</v>
      </c>
      <c r="D13" s="39"/>
      <c r="E13" s="39"/>
      <c r="F13" s="39"/>
      <c r="G13" s="39"/>
      <c r="H13" s="39"/>
      <c r="I13" s="39"/>
      <c r="J13" s="39"/>
      <c r="K13" s="39"/>
      <c r="L13" s="40"/>
    </row>
    <row r="14" spans="2:12" x14ac:dyDescent="0.3">
      <c r="C14" s="41"/>
      <c r="D14" s="42"/>
      <c r="E14" s="42"/>
      <c r="F14" s="42"/>
      <c r="G14" s="42"/>
      <c r="H14" s="42"/>
      <c r="I14" s="42"/>
      <c r="J14" s="42"/>
      <c r="K14" s="42"/>
      <c r="L14" s="43"/>
    </row>
    <row r="15" spans="2:12" x14ac:dyDescent="0.3">
      <c r="C15" s="41"/>
      <c r="D15" s="42"/>
      <c r="E15" s="42"/>
      <c r="F15" s="42"/>
      <c r="G15" s="42"/>
      <c r="H15" s="42"/>
      <c r="I15" s="42"/>
      <c r="J15" s="42"/>
      <c r="K15" s="42"/>
      <c r="L15" s="43"/>
    </row>
    <row r="16" spans="2:12" x14ac:dyDescent="0.3">
      <c r="C16" s="44" t="s">
        <v>8</v>
      </c>
      <c r="D16" s="45"/>
      <c r="E16" s="45"/>
      <c r="F16" s="45"/>
      <c r="G16" s="45"/>
      <c r="H16" s="45"/>
      <c r="I16" s="45"/>
      <c r="J16" s="45"/>
      <c r="K16" s="45"/>
      <c r="L16" s="46"/>
    </row>
    <row r="18" spans="3:12" x14ac:dyDescent="0.3">
      <c r="C18" s="35" t="str">
        <f>+ratios!B24</f>
        <v>To have the peg ratio under 1, the company has to earn with the growth of 36.7% approx</v>
      </c>
      <c r="D18" s="36"/>
      <c r="E18" s="36"/>
      <c r="F18" s="36"/>
      <c r="G18" s="36"/>
      <c r="H18" s="36"/>
      <c r="I18" s="36"/>
      <c r="J18" s="36"/>
      <c r="K18" s="36"/>
      <c r="L18" s="37"/>
    </row>
  </sheetData>
  <mergeCells count="4">
    <mergeCell ref="B3:J3"/>
    <mergeCell ref="C13:L15"/>
    <mergeCell ref="C16:L16"/>
    <mergeCell ref="C18:L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18AD-E34A-43A8-9CA9-812935180A05}">
  <dimension ref="B1:AF40"/>
  <sheetViews>
    <sheetView zoomScaleNormal="100" workbookViewId="0">
      <pane xSplit="2" ySplit="1" topLeftCell="C2" activePane="bottomRight" state="frozen"/>
      <selection pane="topRight" activeCell="C1" sqref="C1"/>
      <selection pane="bottomLeft" activeCell="A2" sqref="A2"/>
      <selection pane="bottomRight" activeCell="O2" sqref="O2"/>
    </sheetView>
  </sheetViews>
  <sheetFormatPr defaultRowHeight="13.8" x14ac:dyDescent="0.25"/>
  <cols>
    <col min="1" max="1" width="8.88671875" style="1"/>
    <col min="2" max="2" width="26.5546875" style="1" bestFit="1" customWidth="1"/>
    <col min="3" max="4" width="11.44140625" style="1" customWidth="1"/>
    <col min="5" max="7" width="11.44140625" style="1" bestFit="1" customWidth="1"/>
    <col min="8" max="8" width="8.88671875" style="1"/>
    <col min="9" max="11" width="10.44140625" style="1" bestFit="1" customWidth="1"/>
    <col min="12" max="12" width="12.21875" style="1" bestFit="1" customWidth="1"/>
    <col min="13" max="13" width="8.88671875" style="1"/>
    <col min="14" max="17" width="10.44140625" style="1" bestFit="1" customWidth="1"/>
    <col min="18" max="18" width="8.88671875" style="1"/>
    <col min="19" max="22" width="10.44140625" style="1" bestFit="1" customWidth="1"/>
    <col min="23" max="23" width="8.88671875" style="1"/>
    <col min="24" max="27" width="10.44140625" style="1" bestFit="1" customWidth="1"/>
    <col min="28" max="28" width="8.88671875" style="1"/>
    <col min="29" max="32" width="10.44140625" style="1" bestFit="1" customWidth="1"/>
    <col min="33" max="16384" width="8.88671875" style="1"/>
  </cols>
  <sheetData>
    <row r="1" spans="2:32" x14ac:dyDescent="0.25">
      <c r="C1" s="9"/>
    </row>
    <row r="3" spans="2:32" x14ac:dyDescent="0.25">
      <c r="B3" s="2" t="s">
        <v>59</v>
      </c>
      <c r="C3" s="2" t="s">
        <v>9</v>
      </c>
      <c r="D3" s="2" t="s">
        <v>10</v>
      </c>
      <c r="E3" s="2" t="s">
        <v>11</v>
      </c>
      <c r="F3" s="2" t="s">
        <v>12</v>
      </c>
      <c r="G3" s="2" t="s">
        <v>13</v>
      </c>
      <c r="I3" s="2" t="s">
        <v>27</v>
      </c>
      <c r="J3" s="2" t="s">
        <v>28</v>
      </c>
      <c r="K3" s="2" t="s">
        <v>29</v>
      </c>
      <c r="L3" s="2" t="s">
        <v>30</v>
      </c>
      <c r="N3" s="2" t="s">
        <v>31</v>
      </c>
      <c r="O3" s="2" t="s">
        <v>32</v>
      </c>
      <c r="P3" s="2" t="s">
        <v>33</v>
      </c>
      <c r="Q3" s="2" t="s">
        <v>34</v>
      </c>
      <c r="S3" s="2" t="s">
        <v>35</v>
      </c>
      <c r="T3" s="2" t="s">
        <v>36</v>
      </c>
      <c r="U3" s="2" t="s">
        <v>37</v>
      </c>
      <c r="V3" s="2" t="s">
        <v>38</v>
      </c>
      <c r="X3" s="2" t="s">
        <v>39</v>
      </c>
      <c r="Y3" s="2" t="s">
        <v>40</v>
      </c>
      <c r="Z3" s="2" t="s">
        <v>41</v>
      </c>
      <c r="AA3" s="2" t="s">
        <v>42</v>
      </c>
      <c r="AC3" s="2" t="s">
        <v>43</v>
      </c>
      <c r="AD3" s="2" t="s">
        <v>44</v>
      </c>
      <c r="AE3" s="2" t="s">
        <v>45</v>
      </c>
      <c r="AF3" s="2" t="s">
        <v>46</v>
      </c>
    </row>
    <row r="4" spans="2:32" x14ac:dyDescent="0.25">
      <c r="B4" s="3" t="s">
        <v>14</v>
      </c>
      <c r="C4" s="4"/>
      <c r="D4" s="4"/>
      <c r="E4" s="4"/>
      <c r="F4" s="4"/>
      <c r="G4" s="4"/>
      <c r="I4" s="4"/>
      <c r="J4" s="4"/>
      <c r="K4" s="4"/>
      <c r="L4" s="4"/>
      <c r="N4" s="4"/>
      <c r="O4" s="4"/>
      <c r="P4" s="4"/>
      <c r="Q4" s="4"/>
      <c r="S4" s="4"/>
      <c r="T4" s="4"/>
      <c r="U4" s="4"/>
      <c r="V4" s="4"/>
      <c r="X4" s="4"/>
      <c r="Y4" s="4"/>
      <c r="Z4" s="4"/>
      <c r="AA4" s="4"/>
      <c r="AC4" s="4"/>
      <c r="AD4" s="4"/>
      <c r="AE4" s="4"/>
      <c r="AF4" s="4"/>
    </row>
    <row r="5" spans="2:32" x14ac:dyDescent="0.25">
      <c r="B5" s="4" t="s">
        <v>15</v>
      </c>
      <c r="C5" s="4">
        <f>+SUM(I5:L5)</f>
        <v>332705</v>
      </c>
      <c r="D5" s="4">
        <f>SUM(N5:Q5)</f>
        <v>291380</v>
      </c>
      <c r="E5" s="4">
        <f>SUM(S5:V5)</f>
        <v>215968</v>
      </c>
      <c r="F5" s="4">
        <f>SUM(X5:AA5)</f>
        <v>162957.5</v>
      </c>
      <c r="G5" s="4">
        <f>SUM(AC5:AF5)</f>
        <v>122715.38999999998</v>
      </c>
      <c r="I5" s="4">
        <v>73426</v>
      </c>
      <c r="J5" s="4">
        <v>75669</v>
      </c>
      <c r="K5" s="4">
        <v>87511</v>
      </c>
      <c r="L5" s="4">
        <v>96099</v>
      </c>
      <c r="N5" s="4">
        <v>65161</v>
      </c>
      <c r="O5" s="4">
        <v>67324</v>
      </c>
      <c r="P5" s="4">
        <v>75311</v>
      </c>
      <c r="Q5" s="4">
        <v>83584</v>
      </c>
      <c r="S5" s="4">
        <v>49768</v>
      </c>
      <c r="T5" s="4">
        <v>49183</v>
      </c>
      <c r="U5" s="4">
        <v>55633</v>
      </c>
      <c r="V5" s="4">
        <v>61384</v>
      </c>
      <c r="X5" s="4">
        <v>32150.39</v>
      </c>
      <c r="Y5" s="4">
        <v>36090.49</v>
      </c>
      <c r="Z5" s="4">
        <v>43657.59</v>
      </c>
      <c r="AA5" s="4">
        <v>51059.03</v>
      </c>
      <c r="AC5" s="4">
        <v>10096.89</v>
      </c>
      <c r="AD5" s="4">
        <v>26832.35</v>
      </c>
      <c r="AE5" s="4">
        <v>40047.910000000003</v>
      </c>
      <c r="AF5" s="4">
        <v>45738.239999999998</v>
      </c>
    </row>
    <row r="6" spans="2:32" x14ac:dyDescent="0.25">
      <c r="B6" s="4" t="s">
        <v>16</v>
      </c>
      <c r="C6" s="4">
        <f>+SUM(I6:L6)</f>
        <v>10032</v>
      </c>
      <c r="D6" s="4">
        <f>SUM(N6:Q6)</f>
        <v>7710</v>
      </c>
      <c r="E6" s="4">
        <f>SUM(S6:V6)</f>
        <v>4112</v>
      </c>
      <c r="F6" s="4">
        <f>SUM(X6:AA6)</f>
        <v>1501.6599999999999</v>
      </c>
      <c r="G6" s="4">
        <f>SUM(AC6:AF6)</f>
        <v>1530.6799999999998</v>
      </c>
      <c r="I6" s="4">
        <v>2755</v>
      </c>
      <c r="J6" s="4">
        <v>3421</v>
      </c>
      <c r="K6" s="4">
        <v>3017</v>
      </c>
      <c r="L6" s="4">
        <v>839</v>
      </c>
      <c r="N6" s="4">
        <v>1624</v>
      </c>
      <c r="O6" s="4">
        <v>1697</v>
      </c>
      <c r="P6" s="4">
        <v>2297</v>
      </c>
      <c r="Q6" s="4">
        <v>2092</v>
      </c>
      <c r="S6" s="4">
        <v>2436</v>
      </c>
      <c r="T6" s="4">
        <v>596</v>
      </c>
      <c r="U6" s="4">
        <v>768</v>
      </c>
      <c r="V6" s="4">
        <v>312</v>
      </c>
      <c r="X6" s="4">
        <v>242.82</v>
      </c>
      <c r="Y6" s="4">
        <v>230.48</v>
      </c>
      <c r="Z6" s="4">
        <v>488.5</v>
      </c>
      <c r="AA6" s="4">
        <v>539.86</v>
      </c>
      <c r="AC6" s="4">
        <v>244.28</v>
      </c>
      <c r="AD6" s="4">
        <v>180.49</v>
      </c>
      <c r="AE6" s="4">
        <v>348.04</v>
      </c>
      <c r="AF6" s="4">
        <v>757.87</v>
      </c>
    </row>
    <row r="7" spans="2:32" x14ac:dyDescent="0.25">
      <c r="B7" s="2" t="s">
        <v>17</v>
      </c>
      <c r="C7" s="2">
        <f>+SUM(I7:L7)</f>
        <v>342737</v>
      </c>
      <c r="D7" s="2">
        <f>SUM(N7:Q7)</f>
        <v>299090</v>
      </c>
      <c r="E7" s="2">
        <f>SUM(S7:V7)</f>
        <v>220080</v>
      </c>
      <c r="F7" s="2">
        <f>SUM(X7:AA7)</f>
        <v>164459.15999999997</v>
      </c>
      <c r="G7" s="2">
        <f>SUM(AC7:AF7)</f>
        <v>124246.07</v>
      </c>
      <c r="I7" s="2">
        <f>+I5+I6</f>
        <v>76181</v>
      </c>
      <c r="J7" s="2">
        <f>+J5+J6</f>
        <v>79090</v>
      </c>
      <c r="K7" s="2">
        <f>+K5+K6</f>
        <v>90528</v>
      </c>
      <c r="L7" s="2">
        <f>+L5+L6</f>
        <v>96938</v>
      </c>
      <c r="N7" s="2">
        <f>+N5+N6</f>
        <v>66785</v>
      </c>
      <c r="O7" s="2">
        <f t="shared" ref="O7:P7" si="0">+O5+O6</f>
        <v>69021</v>
      </c>
      <c r="P7" s="2">
        <f t="shared" si="0"/>
        <v>77608</v>
      </c>
      <c r="Q7" s="2">
        <f>+Q5+Q6</f>
        <v>85676</v>
      </c>
      <c r="S7" s="2">
        <f>+S5+S6</f>
        <v>52204</v>
      </c>
      <c r="T7" s="2">
        <f t="shared" ref="T7" si="1">+T5+T6</f>
        <v>49779</v>
      </c>
      <c r="U7" s="2">
        <f t="shared" ref="U7" si="2">+U5+U6</f>
        <v>56401</v>
      </c>
      <c r="V7" s="2">
        <f>+V5+V6</f>
        <v>61696</v>
      </c>
      <c r="X7" s="2">
        <f>+X5+X6</f>
        <v>32393.21</v>
      </c>
      <c r="Y7" s="2">
        <f t="shared" ref="Y7" si="3">+Y5+Y6</f>
        <v>36320.97</v>
      </c>
      <c r="Z7" s="2">
        <f t="shared" ref="Z7" si="4">+Z5+Z6</f>
        <v>44146.09</v>
      </c>
      <c r="AA7" s="2">
        <f>+AA5+AA6</f>
        <v>51598.89</v>
      </c>
      <c r="AC7" s="2">
        <f>+AC5+AC6</f>
        <v>10341.17</v>
      </c>
      <c r="AD7" s="2">
        <f t="shared" ref="AD7" si="5">+AD5+AD6</f>
        <v>27012.84</v>
      </c>
      <c r="AE7" s="2">
        <f t="shared" ref="AE7" si="6">+AE5+AE6</f>
        <v>40395.950000000004</v>
      </c>
      <c r="AF7" s="2">
        <f>+AF5+AF6</f>
        <v>46496.11</v>
      </c>
    </row>
    <row r="8" spans="2:32" x14ac:dyDescent="0.25">
      <c r="B8" s="4"/>
      <c r="C8" s="4"/>
      <c r="D8" s="4"/>
      <c r="E8" s="4"/>
      <c r="F8" s="4"/>
      <c r="G8" s="4"/>
      <c r="I8" s="4"/>
      <c r="J8" s="4"/>
      <c r="K8" s="4"/>
      <c r="L8" s="4"/>
      <c r="N8" s="4"/>
      <c r="O8" s="4"/>
      <c r="P8" s="4"/>
      <c r="Q8" s="4"/>
      <c r="S8" s="4"/>
      <c r="T8" s="4"/>
      <c r="U8" s="4"/>
      <c r="V8" s="4"/>
      <c r="X8" s="4"/>
      <c r="Y8" s="4"/>
      <c r="Z8" s="4"/>
      <c r="AA8" s="4"/>
      <c r="AC8" s="4"/>
      <c r="AD8" s="4"/>
      <c r="AE8" s="4"/>
      <c r="AF8" s="4"/>
    </row>
    <row r="9" spans="2:32" x14ac:dyDescent="0.25">
      <c r="B9" s="3" t="s">
        <v>18</v>
      </c>
      <c r="C9" s="4"/>
      <c r="D9" s="4"/>
      <c r="E9" s="4"/>
      <c r="F9" s="4"/>
      <c r="G9" s="4"/>
      <c r="I9" s="4"/>
      <c r="J9" s="4"/>
      <c r="K9" s="4"/>
      <c r="L9" s="4"/>
      <c r="N9" s="4"/>
      <c r="O9" s="4"/>
      <c r="P9" s="4"/>
      <c r="Q9" s="4"/>
      <c r="S9" s="4"/>
      <c r="T9" s="4"/>
      <c r="U9" s="4"/>
      <c r="V9" s="4"/>
      <c r="X9" s="4"/>
      <c r="Y9" s="4"/>
      <c r="Z9" s="4"/>
      <c r="AA9" s="4"/>
      <c r="AC9" s="4"/>
      <c r="AD9" s="4"/>
      <c r="AE9" s="4"/>
      <c r="AF9" s="4"/>
    </row>
    <row r="10" spans="2:32" x14ac:dyDescent="0.25">
      <c r="B10" s="4" t="s">
        <v>19</v>
      </c>
      <c r="C10" s="4">
        <f t="shared" ref="C10:C17" si="7">+SUM(I10:L10)</f>
        <v>224860</v>
      </c>
      <c r="D10" s="4">
        <f t="shared" ref="D10:D17" si="8">SUM(N10:Q10)</f>
        <v>207312</v>
      </c>
      <c r="E10" s="4">
        <f t="shared" ref="E10:E17" si="9">SUM(S10:V10)</f>
        <v>157995</v>
      </c>
      <c r="F10" s="4">
        <f t="shared" ref="F10:F17" si="10">SUM(X10:AA10)</f>
        <v>132618.87</v>
      </c>
      <c r="G10" s="4">
        <f t="shared" ref="G10:G17" si="11">SUM(AC10:AF10)</f>
        <v>98311.48000000001</v>
      </c>
      <c r="I10" s="4">
        <v>54490</v>
      </c>
      <c r="J10" s="4">
        <v>49711</v>
      </c>
      <c r="K10" s="4">
        <v>53863</v>
      </c>
      <c r="L10" s="4">
        <v>66796</v>
      </c>
      <c r="N10" s="4">
        <v>48820</v>
      </c>
      <c r="O10" s="4">
        <v>53073</v>
      </c>
      <c r="P10" s="4">
        <v>54285</v>
      </c>
      <c r="Q10" s="4">
        <v>51134</v>
      </c>
      <c r="S10" s="4">
        <v>36168</v>
      </c>
      <c r="T10" s="4">
        <v>35876</v>
      </c>
      <c r="U10" s="4">
        <v>41043</v>
      </c>
      <c r="V10" s="4">
        <v>44908</v>
      </c>
      <c r="X10" s="4">
        <v>24851.64</v>
      </c>
      <c r="Y10" s="4">
        <v>29576.04</v>
      </c>
      <c r="Z10" s="4">
        <v>35301.4</v>
      </c>
      <c r="AA10" s="4">
        <v>42889.79</v>
      </c>
      <c r="AC10" s="4">
        <v>7154.16</v>
      </c>
      <c r="AD10" s="4">
        <v>22716.5</v>
      </c>
      <c r="AE10" s="4">
        <v>30376.38</v>
      </c>
      <c r="AF10" s="4">
        <v>38064.44</v>
      </c>
    </row>
    <row r="11" spans="2:32" x14ac:dyDescent="0.25">
      <c r="B11" s="4" t="s">
        <v>58</v>
      </c>
      <c r="C11" s="4">
        <f t="shared" si="7"/>
        <v>0</v>
      </c>
      <c r="D11" s="4">
        <f t="shared" si="8"/>
        <v>0</v>
      </c>
      <c r="E11" s="4">
        <f t="shared" si="9"/>
        <v>0</v>
      </c>
      <c r="F11" s="4">
        <f t="shared" si="10"/>
        <v>251.04</v>
      </c>
      <c r="G11" s="4">
        <f t="shared" si="11"/>
        <v>606.07000000000016</v>
      </c>
      <c r="I11" s="4"/>
      <c r="J11" s="4"/>
      <c r="K11" s="4"/>
      <c r="L11" s="4"/>
      <c r="N11" s="4"/>
      <c r="O11" s="4"/>
      <c r="P11" s="4"/>
      <c r="Q11" s="4"/>
      <c r="S11" s="4"/>
      <c r="T11" s="4"/>
      <c r="U11" s="4"/>
      <c r="V11" s="4"/>
      <c r="X11" s="4">
        <v>48.44</v>
      </c>
      <c r="Y11" s="4">
        <v>69.61</v>
      </c>
      <c r="Z11" s="4">
        <v>59.17</v>
      </c>
      <c r="AA11" s="4">
        <v>73.819999999999993</v>
      </c>
      <c r="AC11" s="4">
        <v>3.47</v>
      </c>
      <c r="AD11" s="4">
        <v>267.86</v>
      </c>
      <c r="AE11" s="4">
        <v>262.05</v>
      </c>
      <c r="AF11" s="4">
        <v>72.69</v>
      </c>
    </row>
    <row r="12" spans="2:32" x14ac:dyDescent="0.25">
      <c r="B12" s="4" t="s">
        <v>20</v>
      </c>
      <c r="C12" s="4">
        <f t="shared" si="7"/>
        <v>2483</v>
      </c>
      <c r="D12" s="4">
        <f t="shared" si="8"/>
        <v>-5030</v>
      </c>
      <c r="E12" s="4">
        <f t="shared" si="9"/>
        <v>-4440</v>
      </c>
      <c r="F12" s="4">
        <f t="shared" si="10"/>
        <v>-2126.63</v>
      </c>
      <c r="G12" s="4">
        <f t="shared" si="11"/>
        <v>-2721.25</v>
      </c>
      <c r="I12" s="4">
        <v>-3130</v>
      </c>
      <c r="J12" s="4">
        <v>2544</v>
      </c>
      <c r="K12" s="4">
        <v>4935</v>
      </c>
      <c r="L12" s="4">
        <v>-1866</v>
      </c>
      <c r="N12" s="4">
        <v>-3645</v>
      </c>
      <c r="O12" s="4">
        <v>-5770</v>
      </c>
      <c r="P12" s="4">
        <v>-1691</v>
      </c>
      <c r="Q12" s="4">
        <v>6076</v>
      </c>
      <c r="S12" s="4">
        <v>282</v>
      </c>
      <c r="T12" s="4">
        <v>-313</v>
      </c>
      <c r="U12" s="4">
        <v>-1527</v>
      </c>
      <c r="V12" s="4">
        <v>-2882</v>
      </c>
      <c r="X12" s="4">
        <v>739.56</v>
      </c>
      <c r="Y12" s="4">
        <v>-1330.01</v>
      </c>
      <c r="Z12" s="4">
        <v>-523.64</v>
      </c>
      <c r="AA12" s="4">
        <v>-1012.54</v>
      </c>
      <c r="AC12" s="4">
        <v>665.86</v>
      </c>
      <c r="AD12" s="4">
        <v>-1930.41</v>
      </c>
      <c r="AE12" s="4">
        <v>450</v>
      </c>
      <c r="AF12" s="4">
        <v>-1906.7</v>
      </c>
    </row>
    <row r="13" spans="2:32" x14ac:dyDescent="0.25">
      <c r="B13" s="4" t="s">
        <v>21</v>
      </c>
      <c r="C13" s="4">
        <f t="shared" si="7"/>
        <v>13847</v>
      </c>
      <c r="D13" s="4">
        <f t="shared" si="8"/>
        <v>12066</v>
      </c>
      <c r="E13" s="4">
        <f t="shared" si="9"/>
        <v>9976</v>
      </c>
      <c r="F13" s="4">
        <f t="shared" si="10"/>
        <v>8480.7999999999993</v>
      </c>
      <c r="G13" s="4">
        <f t="shared" si="11"/>
        <v>7216.59</v>
      </c>
      <c r="I13" s="4">
        <v>3160</v>
      </c>
      <c r="J13" s="4">
        <v>3331</v>
      </c>
      <c r="K13" s="4">
        <v>3729</v>
      </c>
      <c r="L13" s="4">
        <v>3627</v>
      </c>
      <c r="N13" s="4">
        <v>2647</v>
      </c>
      <c r="O13" s="4">
        <v>2961</v>
      </c>
      <c r="P13" s="4">
        <v>3388</v>
      </c>
      <c r="Q13" s="4">
        <v>3070</v>
      </c>
      <c r="S13" s="4">
        <v>2254</v>
      </c>
      <c r="T13" s="4">
        <v>2379</v>
      </c>
      <c r="U13" s="4">
        <v>2683</v>
      </c>
      <c r="V13" s="4">
        <v>2660</v>
      </c>
      <c r="X13" s="4">
        <v>1910.33</v>
      </c>
      <c r="Y13" s="4">
        <v>2013.4</v>
      </c>
      <c r="Z13" s="4">
        <v>2476.4499999999998</v>
      </c>
      <c r="AA13" s="4">
        <v>2080.62</v>
      </c>
      <c r="AC13" s="4">
        <v>1486.77</v>
      </c>
      <c r="AD13" s="4">
        <v>1793.71</v>
      </c>
      <c r="AE13" s="4">
        <v>2033.95</v>
      </c>
      <c r="AF13" s="4">
        <v>1902.16</v>
      </c>
    </row>
    <row r="14" spans="2:32" x14ac:dyDescent="0.25">
      <c r="B14" s="4" t="s">
        <v>22</v>
      </c>
      <c r="C14" s="4">
        <f t="shared" si="7"/>
        <v>2865</v>
      </c>
      <c r="D14" s="4">
        <f t="shared" si="8"/>
        <v>2317</v>
      </c>
      <c r="E14" s="4">
        <f t="shared" si="9"/>
        <v>1029</v>
      </c>
      <c r="F14" s="4">
        <f t="shared" si="10"/>
        <v>1375.03</v>
      </c>
      <c r="G14" s="4">
        <f t="shared" si="11"/>
        <v>1223.28</v>
      </c>
      <c r="I14" s="4">
        <v>734</v>
      </c>
      <c r="J14" s="4">
        <v>903</v>
      </c>
      <c r="K14" s="4">
        <v>840</v>
      </c>
      <c r="L14" s="4">
        <v>388</v>
      </c>
      <c r="N14" s="4">
        <v>314</v>
      </c>
      <c r="O14" s="4">
        <v>381</v>
      </c>
      <c r="P14" s="4">
        <v>552</v>
      </c>
      <c r="Q14" s="4">
        <v>1070</v>
      </c>
      <c r="S14" s="4">
        <v>165</v>
      </c>
      <c r="T14" s="4">
        <v>213</v>
      </c>
      <c r="U14" s="4">
        <v>313</v>
      </c>
      <c r="V14" s="4">
        <v>338</v>
      </c>
      <c r="X14" s="4">
        <v>271.22000000000003</v>
      </c>
      <c r="Y14" s="4">
        <v>332.27</v>
      </c>
      <c r="Z14" s="4">
        <v>344.34</v>
      </c>
      <c r="AA14" s="4">
        <v>427.2</v>
      </c>
      <c r="AC14" s="4">
        <v>328.31</v>
      </c>
      <c r="AD14" s="4">
        <v>348.54</v>
      </c>
      <c r="AE14" s="4">
        <v>247.67</v>
      </c>
      <c r="AF14" s="4">
        <v>298.76</v>
      </c>
    </row>
    <row r="15" spans="2:32" x14ac:dyDescent="0.25">
      <c r="B15" s="4" t="s">
        <v>23</v>
      </c>
      <c r="C15" s="4">
        <f t="shared" si="7"/>
        <v>2831</v>
      </c>
      <c r="D15" s="4">
        <f t="shared" si="8"/>
        <v>2073</v>
      </c>
      <c r="E15" s="4">
        <f t="shared" si="9"/>
        <v>3051</v>
      </c>
      <c r="F15" s="4">
        <f t="shared" si="10"/>
        <v>1541.26</v>
      </c>
      <c r="G15" s="4">
        <f t="shared" si="11"/>
        <v>1394.48</v>
      </c>
      <c r="I15" s="4">
        <v>685</v>
      </c>
      <c r="J15" s="4">
        <v>699</v>
      </c>
      <c r="K15" s="4">
        <v>717</v>
      </c>
      <c r="L15" s="4">
        <v>730</v>
      </c>
      <c r="N15" s="4">
        <v>462</v>
      </c>
      <c r="O15" s="4">
        <v>351</v>
      </c>
      <c r="P15" s="4">
        <v>589</v>
      </c>
      <c r="Q15" s="4">
        <v>671</v>
      </c>
      <c r="S15" s="4">
        <v>466</v>
      </c>
      <c r="T15" s="4">
        <v>397</v>
      </c>
      <c r="U15" s="4">
        <v>412</v>
      </c>
      <c r="V15" s="4">
        <v>1776</v>
      </c>
      <c r="X15" s="4">
        <v>365.56</v>
      </c>
      <c r="Y15" s="4">
        <v>378.32</v>
      </c>
      <c r="Z15" s="4">
        <v>395.79</v>
      </c>
      <c r="AA15" s="4">
        <v>401.59</v>
      </c>
      <c r="AC15" s="4">
        <v>343.17</v>
      </c>
      <c r="AD15" s="4">
        <v>351.52</v>
      </c>
      <c r="AE15" s="4">
        <v>349.55</v>
      </c>
      <c r="AF15" s="4">
        <v>350.24</v>
      </c>
    </row>
    <row r="16" spans="2:32" x14ac:dyDescent="0.25">
      <c r="B16" s="4" t="s">
        <v>24</v>
      </c>
      <c r="C16" s="4">
        <f t="shared" si="7"/>
        <v>1002</v>
      </c>
      <c r="D16" s="4">
        <f t="shared" si="8"/>
        <v>1774</v>
      </c>
      <c r="E16" s="4">
        <f t="shared" si="9"/>
        <v>937</v>
      </c>
      <c r="F16" s="4">
        <f t="shared" si="10"/>
        <v>0</v>
      </c>
      <c r="G16" s="4">
        <f t="shared" si="11"/>
        <v>0</v>
      </c>
      <c r="I16" s="4">
        <v>17</v>
      </c>
      <c r="J16" s="4">
        <v>10</v>
      </c>
      <c r="K16" s="4">
        <v>427</v>
      </c>
      <c r="L16" s="4">
        <v>548</v>
      </c>
      <c r="N16" s="4">
        <v>521</v>
      </c>
      <c r="O16" s="4">
        <v>543</v>
      </c>
      <c r="P16" s="4">
        <v>720</v>
      </c>
      <c r="Q16" s="4">
        <v>-10</v>
      </c>
      <c r="S16" s="4">
        <v>0</v>
      </c>
      <c r="T16" s="4">
        <v>0</v>
      </c>
      <c r="U16" s="4">
        <v>438</v>
      </c>
      <c r="V16" s="4">
        <v>499</v>
      </c>
      <c r="X16" s="4">
        <v>0</v>
      </c>
      <c r="Y16" s="4">
        <v>0</v>
      </c>
      <c r="Z16" s="4">
        <v>0</v>
      </c>
      <c r="AA16" s="4">
        <v>0</v>
      </c>
      <c r="AC16" s="4">
        <v>0</v>
      </c>
      <c r="AD16" s="4">
        <v>0</v>
      </c>
      <c r="AE16" s="4">
        <v>0</v>
      </c>
      <c r="AF16" s="4">
        <v>0</v>
      </c>
    </row>
    <row r="17" spans="2:32" x14ac:dyDescent="0.25">
      <c r="B17" s="4" t="s">
        <v>25</v>
      </c>
      <c r="C17" s="4">
        <f t="shared" si="7"/>
        <v>39937</v>
      </c>
      <c r="D17" s="4">
        <f t="shared" si="8"/>
        <v>35184</v>
      </c>
      <c r="E17" s="4">
        <f t="shared" si="9"/>
        <v>28158</v>
      </c>
      <c r="F17" s="4">
        <f t="shared" si="10"/>
        <v>8589.06</v>
      </c>
      <c r="G17" s="4">
        <f t="shared" si="11"/>
        <v>7404.28</v>
      </c>
      <c r="I17" s="4">
        <v>9026</v>
      </c>
      <c r="J17" s="4">
        <v>9217</v>
      </c>
      <c r="K17" s="4">
        <v>11068</v>
      </c>
      <c r="L17" s="4">
        <v>10626</v>
      </c>
      <c r="N17" s="4">
        <v>8712</v>
      </c>
      <c r="O17" s="4">
        <v>7791</v>
      </c>
      <c r="P17" s="4">
        <v>8335</v>
      </c>
      <c r="Q17" s="4">
        <v>10346</v>
      </c>
      <c r="S17" s="4">
        <v>6992</v>
      </c>
      <c r="T17" s="4">
        <v>6737</v>
      </c>
      <c r="U17" s="4">
        <v>6836</v>
      </c>
      <c r="V17" s="4">
        <v>7593</v>
      </c>
      <c r="X17" s="4">
        <v>1581.81</v>
      </c>
      <c r="Y17" s="4">
        <v>2298.62</v>
      </c>
      <c r="Z17" s="4">
        <v>2403.4299999999998</v>
      </c>
      <c r="AA17" s="4">
        <v>2305.1999999999998</v>
      </c>
      <c r="AC17" s="4">
        <v>798.25</v>
      </c>
      <c r="AD17" s="4">
        <v>1559.85</v>
      </c>
      <c r="AE17" s="4">
        <v>2410.9699999999998</v>
      </c>
      <c r="AF17" s="4">
        <v>2635.21</v>
      </c>
    </row>
    <row r="18" spans="2:32" x14ac:dyDescent="0.25">
      <c r="B18" s="2" t="s">
        <v>26</v>
      </c>
      <c r="C18" s="2">
        <f>SUM(C10:C17)</f>
        <v>287825</v>
      </c>
      <c r="D18" s="2">
        <f>SUM(D10:D17)</f>
        <v>255696</v>
      </c>
      <c r="E18" s="2">
        <f>SUM(E10:E17)</f>
        <v>196706</v>
      </c>
      <c r="F18" s="2">
        <f>SUM(F10:F17)</f>
        <v>150729.43</v>
      </c>
      <c r="G18" s="2">
        <f>SUM(G10:G17)</f>
        <v>113434.93000000001</v>
      </c>
      <c r="I18" s="2">
        <f>SUM(I10:I17)</f>
        <v>64982</v>
      </c>
      <c r="J18" s="2">
        <f>SUM(J10:J17)</f>
        <v>66415</v>
      </c>
      <c r="K18" s="2">
        <f>SUM(K10:K17)</f>
        <v>75579</v>
      </c>
      <c r="L18" s="2">
        <f>SUM(L10:L17)</f>
        <v>80849</v>
      </c>
      <c r="N18" s="2">
        <f t="shared" ref="N18:Q18" si="12">SUM(N10:N17)</f>
        <v>57831</v>
      </c>
      <c r="O18" s="2">
        <f t="shared" si="12"/>
        <v>59330</v>
      </c>
      <c r="P18" s="2">
        <f t="shared" si="12"/>
        <v>66178</v>
      </c>
      <c r="Q18" s="2">
        <f t="shared" si="12"/>
        <v>72357</v>
      </c>
      <c r="S18" s="2">
        <f t="shared" ref="S18" si="13">SUM(S10:S17)</f>
        <v>46327</v>
      </c>
      <c r="T18" s="2">
        <f t="shared" ref="T18" si="14">SUM(T10:T17)</f>
        <v>45289</v>
      </c>
      <c r="U18" s="2">
        <f t="shared" ref="U18" si="15">SUM(U10:U17)</f>
        <v>50198</v>
      </c>
      <c r="V18" s="2">
        <f t="shared" ref="V18" si="16">SUM(V10:V17)</f>
        <v>54892</v>
      </c>
      <c r="X18" s="2">
        <f t="shared" ref="X18" si="17">SUM(X10:X17)</f>
        <v>29768.560000000005</v>
      </c>
      <c r="Y18" s="2">
        <f t="shared" ref="Y18" si="18">SUM(Y10:Y17)</f>
        <v>33338.250000000007</v>
      </c>
      <c r="Z18" s="2">
        <f t="shared" ref="Z18" si="19">SUM(Z10:Z17)</f>
        <v>40456.939999999995</v>
      </c>
      <c r="AA18" s="2">
        <f t="shared" ref="AA18" si="20">SUM(AA10:AA17)</f>
        <v>47165.679999999993</v>
      </c>
      <c r="AC18" s="2">
        <f t="shared" ref="AC18" si="21">SUM(AC10:AC17)</f>
        <v>10779.99</v>
      </c>
      <c r="AD18" s="2">
        <f t="shared" ref="AD18" si="22">SUM(AD10:AD17)</f>
        <v>25107.57</v>
      </c>
      <c r="AE18" s="2">
        <f t="shared" ref="AE18" si="23">SUM(AE10:AE17)</f>
        <v>36130.57</v>
      </c>
      <c r="AF18" s="2">
        <f t="shared" ref="AF18" si="24">SUM(AF10:AF17)</f>
        <v>41416.80000000001</v>
      </c>
    </row>
    <row r="19" spans="2:32" x14ac:dyDescent="0.25">
      <c r="B19" s="4"/>
      <c r="C19" s="4"/>
      <c r="D19" s="4"/>
      <c r="E19" s="4"/>
      <c r="F19" s="4"/>
      <c r="G19" s="4"/>
      <c r="I19" s="4"/>
      <c r="J19" s="4"/>
      <c r="K19" s="4"/>
      <c r="L19" s="4"/>
      <c r="N19" s="4"/>
      <c r="O19" s="4"/>
      <c r="P19" s="4"/>
      <c r="Q19" s="4"/>
      <c r="S19" s="4"/>
      <c r="T19" s="4"/>
      <c r="U19" s="4"/>
      <c r="V19" s="4"/>
      <c r="X19" s="4"/>
      <c r="Y19" s="4"/>
      <c r="Z19" s="4"/>
      <c r="AA19" s="4"/>
      <c r="AC19" s="4"/>
      <c r="AD19" s="4"/>
      <c r="AE19" s="4"/>
      <c r="AF19" s="4"/>
    </row>
    <row r="20" spans="2:32" x14ac:dyDescent="0.25">
      <c r="B20" s="2" t="s">
        <v>47</v>
      </c>
      <c r="C20" s="2">
        <f>C7-C18</f>
        <v>54912</v>
      </c>
      <c r="D20" s="2">
        <f>D7-D18</f>
        <v>43394</v>
      </c>
      <c r="E20" s="2">
        <f>E7-E18</f>
        <v>23374</v>
      </c>
      <c r="F20" s="2">
        <f>F7-F18</f>
        <v>13729.729999999981</v>
      </c>
      <c r="G20" s="2">
        <f>G7-G18</f>
        <v>10811.14</v>
      </c>
      <c r="I20" s="2">
        <f>I7-I18</f>
        <v>11199</v>
      </c>
      <c r="J20" s="2">
        <f>J7-J18</f>
        <v>12675</v>
      </c>
      <c r="K20" s="2">
        <f>K7-K18</f>
        <v>14949</v>
      </c>
      <c r="L20" s="2">
        <f>L7-L18</f>
        <v>16089</v>
      </c>
      <c r="N20" s="2">
        <f>N7-N18</f>
        <v>8954</v>
      </c>
      <c r="O20" s="2">
        <f>O7-O18</f>
        <v>9691</v>
      </c>
      <c r="P20" s="2">
        <f>P7-P18</f>
        <v>11430</v>
      </c>
      <c r="Q20" s="2">
        <f>Q7-Q18</f>
        <v>13319</v>
      </c>
      <c r="S20" s="2">
        <f>S7-S18</f>
        <v>5877</v>
      </c>
      <c r="T20" s="2">
        <f>T7-T18</f>
        <v>4490</v>
      </c>
      <c r="U20" s="2">
        <f>U7-U18</f>
        <v>6203</v>
      </c>
      <c r="V20" s="2">
        <f>V7-V18</f>
        <v>6804</v>
      </c>
      <c r="X20" s="2">
        <f>X7-X18</f>
        <v>2624.6499999999942</v>
      </c>
      <c r="Y20" s="2">
        <f>Y7-Y18</f>
        <v>2982.7199999999939</v>
      </c>
      <c r="Z20" s="2">
        <f>Z7-Z18</f>
        <v>3689.1500000000015</v>
      </c>
      <c r="AA20" s="2">
        <f>AA7-AA18</f>
        <v>4433.2100000000064</v>
      </c>
      <c r="AC20" s="2">
        <f>AC7-AC18</f>
        <v>-438.81999999999971</v>
      </c>
      <c r="AD20" s="2">
        <f>AD7-AD18</f>
        <v>1905.2700000000004</v>
      </c>
      <c r="AE20" s="2">
        <f>AE7-AE18</f>
        <v>4265.3800000000047</v>
      </c>
      <c r="AF20" s="2">
        <f>AF7-AF18</f>
        <v>5079.3099999999904</v>
      </c>
    </row>
    <row r="21" spans="2:32" x14ac:dyDescent="0.25">
      <c r="B21" s="4"/>
      <c r="C21" s="4"/>
      <c r="D21" s="4"/>
      <c r="E21" s="4"/>
      <c r="F21" s="4"/>
      <c r="G21" s="4"/>
      <c r="I21" s="4"/>
      <c r="J21" s="4"/>
      <c r="K21" s="4"/>
      <c r="L21" s="4"/>
      <c r="N21" s="4"/>
      <c r="O21" s="4"/>
      <c r="P21" s="4"/>
      <c r="Q21" s="4"/>
      <c r="S21" s="4"/>
      <c r="T21" s="4"/>
      <c r="U21" s="4"/>
      <c r="V21" s="4"/>
      <c r="X21" s="4"/>
      <c r="Y21" s="4"/>
      <c r="Z21" s="4"/>
      <c r="AA21" s="4"/>
      <c r="AC21" s="4"/>
      <c r="AD21" s="4"/>
      <c r="AE21" s="4"/>
      <c r="AF21" s="4"/>
    </row>
    <row r="22" spans="2:32" x14ac:dyDescent="0.25">
      <c r="B22" s="3" t="s">
        <v>48</v>
      </c>
      <c r="C22" s="4"/>
      <c r="D22" s="4"/>
      <c r="E22" s="4"/>
      <c r="F22" s="4"/>
      <c r="G22" s="4"/>
      <c r="I22" s="4"/>
      <c r="J22" s="4"/>
      <c r="K22" s="4"/>
      <c r="L22" s="4"/>
      <c r="N22" s="4"/>
      <c r="O22" s="4"/>
      <c r="P22" s="4"/>
      <c r="Q22" s="4"/>
      <c r="S22" s="4"/>
      <c r="T22" s="4"/>
      <c r="U22" s="4"/>
      <c r="V22" s="4"/>
      <c r="X22" s="4"/>
      <c r="Y22" s="4"/>
      <c r="Z22" s="4"/>
      <c r="AA22" s="4"/>
      <c r="AC22" s="4"/>
      <c r="AD22" s="4"/>
      <c r="AE22" s="4"/>
      <c r="AF22" s="4"/>
    </row>
    <row r="23" spans="2:32" x14ac:dyDescent="0.25">
      <c r="B23" s="6" t="s">
        <v>49</v>
      </c>
      <c r="C23" s="4">
        <f>+SUM(I23:L23)</f>
        <v>14176</v>
      </c>
      <c r="D23" s="4">
        <f>SUM(N23:Q23)</f>
        <v>10992</v>
      </c>
      <c r="E23" s="4">
        <f>SUM(S23:V23)</f>
        <v>6093</v>
      </c>
      <c r="F23" s="4">
        <f>SUM(X23:AA23)</f>
        <v>3476.3599999999997</v>
      </c>
      <c r="G23" s="4">
        <f>SUM(AC23:AF23)</f>
        <v>2669.98</v>
      </c>
      <c r="I23" s="4">
        <v>2593</v>
      </c>
      <c r="J23" s="4">
        <v>3059</v>
      </c>
      <c r="K23" s="4">
        <v>3491</v>
      </c>
      <c r="L23" s="4">
        <v>5033</v>
      </c>
      <c r="N23" s="4">
        <v>2148</v>
      </c>
      <c r="O23" s="4">
        <v>2399</v>
      </c>
      <c r="P23" s="4">
        <v>2652</v>
      </c>
      <c r="Q23" s="4">
        <v>3793</v>
      </c>
      <c r="S23" s="4">
        <v>1352</v>
      </c>
      <c r="T23" s="4">
        <v>967</v>
      </c>
      <c r="U23" s="4">
        <v>1416</v>
      </c>
      <c r="V23" s="4">
        <v>2358</v>
      </c>
      <c r="X23" s="4">
        <v>667.98</v>
      </c>
      <c r="Y23" s="4">
        <v>793.24</v>
      </c>
      <c r="Z23" s="4">
        <v>893.77</v>
      </c>
      <c r="AA23" s="4">
        <v>1121.3699999999999</v>
      </c>
      <c r="AC23" s="4">
        <v>0</v>
      </c>
      <c r="AD23" s="4">
        <v>415.94</v>
      </c>
      <c r="AE23" s="4">
        <v>1129.3</v>
      </c>
      <c r="AF23" s="4">
        <v>1124.74</v>
      </c>
    </row>
    <row r="24" spans="2:32" x14ac:dyDescent="0.25">
      <c r="B24" s="6" t="s">
        <v>50</v>
      </c>
      <c r="C24" s="4">
        <f>+SUM(I24:L24)</f>
        <v>-188</v>
      </c>
      <c r="D24" s="4">
        <f>SUM(N24:Q24)</f>
        <v>-418</v>
      </c>
      <c r="E24" s="4">
        <f>SUM(S24:V24)</f>
        <v>-17</v>
      </c>
      <c r="F24" s="4">
        <f>SUM(X24:AA24)</f>
        <v>-246.43</v>
      </c>
      <c r="G24" s="4">
        <f>SUM(AC24:AF24)</f>
        <v>161.93</v>
      </c>
      <c r="I24" s="4">
        <v>188</v>
      </c>
      <c r="J24" s="4">
        <v>134</v>
      </c>
      <c r="K24" s="4">
        <v>290</v>
      </c>
      <c r="L24" s="4">
        <v>-800</v>
      </c>
      <c r="N24" s="4">
        <v>49</v>
      </c>
      <c r="O24" s="4">
        <v>-102</v>
      </c>
      <c r="P24" s="4">
        <v>-46</v>
      </c>
      <c r="Q24" s="4">
        <v>-319</v>
      </c>
      <c r="S24" s="4">
        <v>-2</v>
      </c>
      <c r="T24" s="4">
        <v>137</v>
      </c>
      <c r="U24" s="4">
        <v>117</v>
      </c>
      <c r="V24" s="4">
        <v>-269</v>
      </c>
      <c r="X24" s="4">
        <v>25.66</v>
      </c>
      <c r="Y24" s="4">
        <v>-101.66</v>
      </c>
      <c r="Z24" s="4">
        <v>58.87</v>
      </c>
      <c r="AA24" s="4">
        <v>-229.3</v>
      </c>
      <c r="AC24" s="4">
        <v>-9.02</v>
      </c>
      <c r="AD24" s="4">
        <v>29.42</v>
      </c>
      <c r="AE24" s="4">
        <v>44.39</v>
      </c>
      <c r="AF24" s="4">
        <v>97.14</v>
      </c>
    </row>
    <row r="25" spans="2:32" x14ac:dyDescent="0.25">
      <c r="B25" s="4"/>
      <c r="C25" s="4"/>
      <c r="D25" s="4"/>
      <c r="E25" s="4"/>
      <c r="F25" s="4"/>
      <c r="G25" s="4"/>
      <c r="I25" s="4"/>
      <c r="J25" s="4"/>
      <c r="K25" s="4"/>
      <c r="L25" s="4"/>
      <c r="N25" s="4"/>
      <c r="O25" s="4"/>
      <c r="P25" s="4"/>
      <c r="Q25" s="4"/>
      <c r="S25" s="4"/>
      <c r="T25" s="4"/>
      <c r="U25" s="4"/>
      <c r="V25" s="4"/>
      <c r="X25" s="4"/>
      <c r="Y25" s="4"/>
      <c r="Z25" s="4"/>
      <c r="AA25" s="4"/>
      <c r="AC25" s="4"/>
      <c r="AD25" s="4"/>
      <c r="AE25" s="4"/>
      <c r="AF25" s="4"/>
    </row>
    <row r="26" spans="2:32" x14ac:dyDescent="0.25">
      <c r="B26" s="2" t="s">
        <v>51</v>
      </c>
      <c r="C26" s="2">
        <f t="shared" ref="C26:G26" si="25">C20-SUM(C23:C24)</f>
        <v>40924</v>
      </c>
      <c r="D26" s="2">
        <f t="shared" si="25"/>
        <v>32820</v>
      </c>
      <c r="E26" s="2">
        <f t="shared" si="25"/>
        <v>17298</v>
      </c>
      <c r="F26" s="2">
        <f t="shared" si="25"/>
        <v>10499.799999999981</v>
      </c>
      <c r="G26" s="2">
        <f t="shared" si="25"/>
        <v>7979.23</v>
      </c>
      <c r="I26" s="2">
        <f t="shared" ref="I26:K26" si="26">I20-SUM(I23:I24)</f>
        <v>8418</v>
      </c>
      <c r="J26" s="2">
        <f t="shared" si="26"/>
        <v>9482</v>
      </c>
      <c r="K26" s="2">
        <f t="shared" si="26"/>
        <v>11168</v>
      </c>
      <c r="L26" s="2">
        <f>L20-SUM(L23:L24)</f>
        <v>11856</v>
      </c>
      <c r="N26" s="2">
        <f t="shared" ref="N26:AF26" si="27">N20-SUM(N23:N24)</f>
        <v>6757</v>
      </c>
      <c r="O26" s="2">
        <f t="shared" si="27"/>
        <v>7394</v>
      </c>
      <c r="P26" s="2">
        <f t="shared" si="27"/>
        <v>8824</v>
      </c>
      <c r="Q26" s="2">
        <f t="shared" si="27"/>
        <v>9845</v>
      </c>
      <c r="S26" s="2">
        <f t="shared" si="27"/>
        <v>4527</v>
      </c>
      <c r="T26" s="2">
        <f t="shared" si="27"/>
        <v>3386</v>
      </c>
      <c r="U26" s="2">
        <f t="shared" si="27"/>
        <v>4670</v>
      </c>
      <c r="V26" s="2">
        <f t="shared" si="27"/>
        <v>4715</v>
      </c>
      <c r="X26" s="2">
        <f t="shared" si="27"/>
        <v>1931.0099999999943</v>
      </c>
      <c r="Y26" s="2">
        <f t="shared" si="27"/>
        <v>2291.139999999994</v>
      </c>
      <c r="Z26" s="2">
        <f t="shared" si="27"/>
        <v>2736.5100000000016</v>
      </c>
      <c r="AA26" s="2">
        <f t="shared" si="27"/>
        <v>3541.1400000000067</v>
      </c>
      <c r="AC26" s="2">
        <f t="shared" si="27"/>
        <v>-429.79999999999973</v>
      </c>
      <c r="AD26" s="2">
        <f t="shared" si="27"/>
        <v>1459.9100000000003</v>
      </c>
      <c r="AE26" s="2">
        <f t="shared" si="27"/>
        <v>3091.6900000000046</v>
      </c>
      <c r="AF26" s="2">
        <f t="shared" si="27"/>
        <v>3857.4299999999903</v>
      </c>
    </row>
    <row r="27" spans="2:32" x14ac:dyDescent="0.25">
      <c r="B27" s="3" t="s">
        <v>52</v>
      </c>
      <c r="C27" s="4">
        <f>+SUM(I27:L27)</f>
        <v>34.370000000000005</v>
      </c>
      <c r="D27" s="4">
        <f>SUM(N27:Q27)</f>
        <v>27.56</v>
      </c>
      <c r="E27" s="4">
        <f>SUM(S27:V27)</f>
        <v>14.4</v>
      </c>
      <c r="F27" s="4">
        <f>SUM(X27:AA27)</f>
        <v>8.98</v>
      </c>
      <c r="G27" s="4">
        <f>SUM(AC27:AF27)</f>
        <v>7.03</v>
      </c>
      <c r="I27" s="4">
        <v>7.07</v>
      </c>
      <c r="J27" s="4">
        <v>7.96</v>
      </c>
      <c r="K27" s="4">
        <v>9.3800000000000008</v>
      </c>
      <c r="L27" s="4">
        <v>9.9600000000000009</v>
      </c>
      <c r="N27" s="4">
        <v>5.67</v>
      </c>
      <c r="O27" s="4">
        <v>6.21</v>
      </c>
      <c r="P27" s="4">
        <v>7.41</v>
      </c>
      <c r="Q27" s="4">
        <v>8.27</v>
      </c>
      <c r="S27" s="4">
        <v>3.65</v>
      </c>
      <c r="T27" s="4">
        <v>2.85</v>
      </c>
      <c r="U27" s="4">
        <v>3.9</v>
      </c>
      <c r="V27" s="4">
        <v>4</v>
      </c>
      <c r="X27" s="4">
        <v>1.7</v>
      </c>
      <c r="Y27" s="4">
        <v>2.0099999999999998</v>
      </c>
      <c r="Z27" s="4">
        <v>2.2999999999999998</v>
      </c>
      <c r="AA27" s="4">
        <v>2.97</v>
      </c>
      <c r="AC27" s="4">
        <v>-0.38</v>
      </c>
      <c r="AD27" s="4">
        <v>1.29</v>
      </c>
      <c r="AE27" s="4">
        <v>2.72</v>
      </c>
      <c r="AF27" s="4">
        <v>3.4</v>
      </c>
    </row>
    <row r="28" spans="2:32" x14ac:dyDescent="0.25">
      <c r="B28" s="3" t="s">
        <v>53</v>
      </c>
      <c r="C28" s="3">
        <f t="shared" ref="C28" si="28">C26/C27</f>
        <v>1190.6895548443408</v>
      </c>
      <c r="D28" s="3">
        <f t="shared" ref="D28" si="29">D26/D27</f>
        <v>1190.8563134978231</v>
      </c>
      <c r="E28" s="3">
        <f t="shared" ref="E28" si="30">E26/E27</f>
        <v>1201.25</v>
      </c>
      <c r="F28" s="3">
        <f>F26/F27</f>
        <v>1169.2427616926482</v>
      </c>
      <c r="G28" s="3">
        <f>G26/G27</f>
        <v>1135.0256045519202</v>
      </c>
      <c r="I28" s="3">
        <f t="shared" ref="I28:K28" si="31">I26/I27</f>
        <v>1190.6647807637905</v>
      </c>
      <c r="J28" s="3">
        <f t="shared" si="31"/>
        <v>1191.2060301507538</v>
      </c>
      <c r="K28" s="3">
        <f t="shared" si="31"/>
        <v>1190.6183368869936</v>
      </c>
      <c r="L28" s="3">
        <f>L26/L27</f>
        <v>1190.3614457831325</v>
      </c>
      <c r="N28" s="3">
        <f t="shared" ref="N28:Q28" si="32">N26/N27</f>
        <v>1191.710758377425</v>
      </c>
      <c r="O28" s="3">
        <f t="shared" si="32"/>
        <v>1190.6602254428342</v>
      </c>
      <c r="P28" s="3">
        <f t="shared" si="32"/>
        <v>1190.8232118758435</v>
      </c>
      <c r="Q28" s="3">
        <f t="shared" si="32"/>
        <v>1190.4474002418381</v>
      </c>
      <c r="S28" s="3">
        <f t="shared" ref="S28" si="33">S26/S27</f>
        <v>1240.2739726027398</v>
      </c>
      <c r="T28" s="3">
        <f t="shared" ref="T28" si="34">T26/T27</f>
        <v>1188.0701754385964</v>
      </c>
      <c r="U28" s="3">
        <f t="shared" ref="U28" si="35">U26/U27</f>
        <v>1197.4358974358975</v>
      </c>
      <c r="V28" s="3">
        <f t="shared" ref="V28" si="36">V26/V27</f>
        <v>1178.75</v>
      </c>
      <c r="X28" s="3">
        <f t="shared" ref="X28" si="37">X26/X27</f>
        <v>1135.8882352941143</v>
      </c>
      <c r="Y28" s="3">
        <f t="shared" ref="Y28" si="38">Y26/Y27</f>
        <v>1139.8706467661664</v>
      </c>
      <c r="Z28" s="3">
        <f t="shared" ref="Z28" si="39">Z26/Z27</f>
        <v>1189.78695652174</v>
      </c>
      <c r="AA28" s="3">
        <f t="shared" ref="AA28" si="40">AA26/AA27</f>
        <v>1192.3030303030325</v>
      </c>
      <c r="AC28" s="3">
        <f t="shared" ref="AC28" si="41">AC26/AC27</f>
        <v>1131.0526315789466</v>
      </c>
      <c r="AD28" s="3">
        <f t="shared" ref="AD28" si="42">AD26/AD27</f>
        <v>1131.7131782945739</v>
      </c>
      <c r="AE28" s="3">
        <f t="shared" ref="AE28" si="43">AE26/AE27</f>
        <v>1136.6507352941192</v>
      </c>
      <c r="AF28" s="3">
        <f t="shared" ref="AF28" si="44">AF26/AF27</f>
        <v>1134.5382352941149</v>
      </c>
    </row>
    <row r="29" spans="2:32" x14ac:dyDescent="0.25">
      <c r="B29" s="4"/>
      <c r="C29" s="4"/>
      <c r="D29" s="4"/>
      <c r="E29" s="4"/>
      <c r="F29" s="4"/>
      <c r="G29" s="4"/>
      <c r="I29" s="4"/>
      <c r="J29" s="4"/>
      <c r="K29" s="4"/>
      <c r="L29" s="4"/>
      <c r="N29" s="4"/>
      <c r="O29" s="4"/>
      <c r="P29" s="4"/>
      <c r="Q29" s="4"/>
      <c r="S29" s="4"/>
      <c r="T29" s="4"/>
      <c r="U29" s="4"/>
      <c r="V29" s="4"/>
      <c r="X29" s="4"/>
      <c r="Y29" s="4"/>
      <c r="Z29" s="4"/>
      <c r="AA29" s="4"/>
      <c r="AC29" s="4"/>
      <c r="AD29" s="4"/>
      <c r="AE29" s="4"/>
      <c r="AF29" s="4"/>
    </row>
    <row r="30" spans="2:32" x14ac:dyDescent="0.25">
      <c r="B30" s="3" t="s">
        <v>54</v>
      </c>
      <c r="C30" s="7">
        <f>+(C7-C10-C12-C13-C16-C17)/C7</f>
        <v>0.17683529936948739</v>
      </c>
      <c r="D30" s="7">
        <f>+(D7-D10-D12-D13-D16-D17)/D7</f>
        <v>0.15976461934534755</v>
      </c>
      <c r="E30" s="7">
        <f>+(E7-E10-E12-E13-E16-E17)/E7</f>
        <v>0.12474554707379135</v>
      </c>
      <c r="F30" s="7">
        <f>+(F7-F10-F12-F13-F16-F17)/F7</f>
        <v>0.10274319776411346</v>
      </c>
      <c r="G30" s="7">
        <f>+(G7-G10-G12-G13-G16-G17)/G7</f>
        <v>0.11296107796407562</v>
      </c>
      <c r="I30" s="7">
        <f>+(I7-I10-I12-I13-I16-I17)/I7</f>
        <v>0.16563185046140114</v>
      </c>
      <c r="J30" s="7">
        <f>+(J7-J10-J12-J13-J16-J17)/J7</f>
        <v>0.18051586799848274</v>
      </c>
      <c r="K30" s="7">
        <f>+(K7-K10-K12-K13-K16-K17)/K7</f>
        <v>0.18233032873806998</v>
      </c>
      <c r="L30" s="7">
        <f>+(L7-L10-L12-L13-L16-L17)/L7</f>
        <v>0.17750520951536033</v>
      </c>
      <c r="N30" s="7">
        <f>+(N7-N10-N12-N13-N16-N17)/N7</f>
        <v>0.14569139776896009</v>
      </c>
      <c r="O30" s="7">
        <f>+(O7-O10-O12-O13-O16-O17)/O7</f>
        <v>0.15101201083728141</v>
      </c>
      <c r="P30" s="7">
        <f>+(P7-P10-P12-P13-P16-P17)/P7</f>
        <v>0.16198072363673849</v>
      </c>
      <c r="Q30" s="7">
        <f>+(Q7-Q10-Q12-Q13-Q16-Q17)/Q7</f>
        <v>0.17577851440310005</v>
      </c>
      <c r="S30" s="7">
        <f>+(S7-S10-S12-S13-S16-S17)/S7</f>
        <v>0.12466477664546778</v>
      </c>
      <c r="T30" s="7">
        <f>+(T7-T10-T12-T13-T16-T17)/T7</f>
        <v>0.10245284155969385</v>
      </c>
      <c r="U30" s="7">
        <f>+(U7-U10-U12-U13-U16-U17)/U7</f>
        <v>0.12283470151238453</v>
      </c>
      <c r="V30" s="7">
        <f>+(V7-V10-V12-V13-V16-V17)/V7</f>
        <v>0.14454745850622408</v>
      </c>
      <c r="X30" s="7">
        <f>+(X7-X10-X12-X13-X16-X17)/X7</f>
        <v>0.10217789468842392</v>
      </c>
      <c r="Y30" s="7">
        <f>+(Y7-Y10-Y12-Y13-Y16-Y17)/Y7</f>
        <v>0.10360185865080147</v>
      </c>
      <c r="Z30" s="7">
        <f>+(Z7-Z10-Z12-Z13-Z16-Z17)/Z7</f>
        <v>0.10167265096410567</v>
      </c>
      <c r="AA30" s="7">
        <f>+(AA7-AA10-AA12-AA13-AA16-AA17)/AA7</f>
        <v>0.10340958884968261</v>
      </c>
      <c r="AC30" s="7">
        <f>+(AC7-AC10-AC12-AC13-AC16-AC17)/AC7</f>
        <v>2.2833973331837704E-2</v>
      </c>
      <c r="AD30" s="7">
        <f>+(AD7-AD10-AD12-AD13-AD16-AD17)/AD7</f>
        <v>0.10636386251871333</v>
      </c>
      <c r="AE30" s="7">
        <f>+(AE7-AE10-AE12-AE13-AE16-AE17)/AE7</f>
        <v>0.12686048972731184</v>
      </c>
      <c r="AF30" s="7">
        <f>+(AF7-AF10-AF12-AF13-AF16-AF17)/AF7</f>
        <v>0.12476312534532456</v>
      </c>
    </row>
    <row r="31" spans="2:32" x14ac:dyDescent="0.25">
      <c r="B31" s="3" t="s">
        <v>57</v>
      </c>
      <c r="C31" s="10">
        <f>AVERAGE(C30:G30)</f>
        <v>0.13540994830336309</v>
      </c>
      <c r="D31" s="4"/>
      <c r="E31" s="4"/>
      <c r="F31" s="4"/>
      <c r="G31" s="4"/>
      <c r="I31" s="10">
        <f>AVERAGE(I30:L30)</f>
        <v>0.17649581417832855</v>
      </c>
      <c r="J31" s="7"/>
      <c r="K31" s="7"/>
      <c r="L31" s="7"/>
      <c r="N31" s="10">
        <f>AVERAGE(N30:Q30)</f>
        <v>0.15861566166152002</v>
      </c>
      <c r="O31" s="7"/>
      <c r="P31" s="7"/>
      <c r="Q31" s="7"/>
      <c r="S31" s="10">
        <f>AVERAGE(S30:V30)</f>
        <v>0.12362494455594256</v>
      </c>
      <c r="T31" s="7"/>
      <c r="U31" s="7"/>
      <c r="V31" s="7"/>
      <c r="X31" s="10">
        <f>AVERAGE(X30:AA30)</f>
        <v>0.10271549828825341</v>
      </c>
      <c r="Y31" s="7"/>
      <c r="Z31" s="7"/>
      <c r="AA31" s="7"/>
      <c r="AC31" s="10">
        <f>AVERAGE(AC30:AF30)</f>
        <v>9.5205362730796869E-2</v>
      </c>
      <c r="AD31" s="7"/>
      <c r="AE31" s="7"/>
      <c r="AF31" s="7"/>
    </row>
    <row r="32" spans="2:32" x14ac:dyDescent="0.25">
      <c r="B32" s="3"/>
      <c r="C32" s="4"/>
      <c r="D32" s="4"/>
      <c r="E32" s="4"/>
      <c r="F32" s="4"/>
      <c r="G32" s="4"/>
      <c r="I32" s="7"/>
      <c r="J32" s="7"/>
      <c r="K32" s="7"/>
      <c r="L32" s="7"/>
      <c r="N32" s="7"/>
      <c r="O32" s="7"/>
      <c r="P32" s="7"/>
      <c r="Q32" s="7"/>
      <c r="S32" s="4"/>
      <c r="T32" s="4"/>
      <c r="U32" s="4"/>
      <c r="V32" s="4"/>
      <c r="X32" s="4"/>
      <c r="Y32" s="4"/>
      <c r="Z32" s="4"/>
      <c r="AA32" s="4"/>
      <c r="AC32" s="4"/>
      <c r="AD32" s="4"/>
      <c r="AE32" s="4"/>
      <c r="AF32" s="4"/>
    </row>
    <row r="33" spans="2:32" x14ac:dyDescent="0.25">
      <c r="B33" s="3" t="s">
        <v>55</v>
      </c>
      <c r="C33" s="7">
        <f>(+C7-C10-C12-(C17*0.7))/C7</f>
        <v>0.25511718898163899</v>
      </c>
      <c r="D33" s="7">
        <f>(+D7-D10-D12-(D17*0.7))/D7</f>
        <v>0.24132936574275302</v>
      </c>
      <c r="E33" s="7">
        <f>(+E7-E10-E12-(E17*0.7))/E7</f>
        <v>0.21271537622682662</v>
      </c>
      <c r="F33" s="7">
        <f>(+F7-F10-F12-(F17*0.7))/F7</f>
        <v>0.16997884459582538</v>
      </c>
      <c r="G33" s="7">
        <f>(+G7-G10-G12-(G17*0.7))/G7</f>
        <v>0.18892222506514689</v>
      </c>
      <c r="I33" s="7">
        <f>(+I7-I10-I12-(I17*0.7))/I7</f>
        <v>0.24287945813260522</v>
      </c>
      <c r="J33" s="7">
        <f>(+J7-J10-J12-(J17*0.7))/J7</f>
        <v>0.25772031862435196</v>
      </c>
      <c r="K33" s="7">
        <f>(+K7-K10-K12-(K17*0.7))/K7</f>
        <v>0.26491693177801345</v>
      </c>
      <c r="L33" s="7">
        <f>(+L7-L10-L12-(L17*0.7))/L7</f>
        <v>0.25345891188182135</v>
      </c>
      <c r="N33" s="7">
        <f>(+N7-N10-N12-(N17*0.7))/N7</f>
        <v>0.23226173541963016</v>
      </c>
      <c r="O33" s="7">
        <f>(+O7-O10-O12-(O17*0.7))/O7</f>
        <v>0.23564277538720099</v>
      </c>
      <c r="P33" s="7">
        <f>(+P7-P10-P12-(P17*0.7))/P7</f>
        <v>0.24713302752293578</v>
      </c>
      <c r="Q33" s="7">
        <f>(+Q7-Q10-Q12-(Q17*0.7))/Q7</f>
        <v>0.24772164900322144</v>
      </c>
      <c r="S33" s="7">
        <f>(+S7-S10-S12-(S17*0.7))/S7</f>
        <v>0.2080223737644625</v>
      </c>
      <c r="T33" s="7">
        <f>(+T7-T10-T12-(T17*0.7))/T7</f>
        <v>0.19084553727475442</v>
      </c>
      <c r="U33" s="7">
        <f>(+U7-U10-U12-(U17*0.7))/U7</f>
        <v>0.21453165724011986</v>
      </c>
      <c r="V33" s="7">
        <f>(+V7-V10-V12-(V17*0.7))/V7</f>
        <v>0.23267148599585064</v>
      </c>
      <c r="X33" s="7">
        <f>(+X7-X10-X12-(X17*0.7))/X7</f>
        <v>0.17580051498446744</v>
      </c>
      <c r="Y33" s="7">
        <f>(+Y7-Y10-Y12-(Y17*0.7))/Y7</f>
        <v>0.17802129183223908</v>
      </c>
      <c r="Z33" s="7">
        <f>(+Z7-Z10-Z12-(Z17*0.7))/Z7</f>
        <v>0.17410214585255446</v>
      </c>
      <c r="AA33" s="7">
        <f>(+AA7-AA10-AA12-(AA17*0.7))/AA7</f>
        <v>0.15713516317889784</v>
      </c>
      <c r="AC33" s="7">
        <f>(+AC7-AC10-AC12-(AC17*0.7))/AC7</f>
        <v>0.18976334399299111</v>
      </c>
      <c r="AD33" s="7">
        <f>(+AD7-AD10-AD12-(AD17*0.7))/AD7</f>
        <v>0.1900894167366334</v>
      </c>
      <c r="AE33" s="7">
        <f>(+AE7-AE10-AE12-(AE17*0.7))/AE7</f>
        <v>0.19511587176437248</v>
      </c>
      <c r="AF33" s="7">
        <f>(+AF7-AF10-AF12-(AF17*0.7))/AF7</f>
        <v>0.18267599160445891</v>
      </c>
    </row>
    <row r="34" spans="2:32" x14ac:dyDescent="0.25">
      <c r="B34" s="3" t="s">
        <v>57</v>
      </c>
      <c r="C34" s="10">
        <f>AVERAGE(C33:G33)</f>
        <v>0.21361260012243818</v>
      </c>
      <c r="D34" s="4"/>
      <c r="E34" s="4"/>
      <c r="F34" s="4"/>
      <c r="G34" s="4"/>
      <c r="I34" s="10">
        <f>AVERAGE(I33:L33)</f>
        <v>0.25474390510419798</v>
      </c>
      <c r="J34" s="7"/>
      <c r="K34" s="7"/>
      <c r="L34" s="7"/>
      <c r="N34" s="10">
        <f>AVERAGE(N33:Q33)</f>
        <v>0.24068979683324709</v>
      </c>
      <c r="O34" s="7"/>
      <c r="P34" s="7"/>
      <c r="Q34" s="7"/>
      <c r="S34" s="10">
        <f>AVERAGE(S33:V33)</f>
        <v>0.21151776356879684</v>
      </c>
      <c r="T34" s="7"/>
      <c r="U34" s="7"/>
      <c r="V34" s="7"/>
      <c r="X34" s="10">
        <f>AVERAGE(X33:AA33)</f>
        <v>0.1712647789620397</v>
      </c>
      <c r="Y34" s="7"/>
      <c r="Z34" s="7"/>
      <c r="AA34" s="7"/>
      <c r="AC34" s="10">
        <f>AVERAGE(AC33:AF33)</f>
        <v>0.18941115602461397</v>
      </c>
      <c r="AD34" s="7"/>
      <c r="AE34" s="7"/>
      <c r="AF34" s="7"/>
    </row>
    <row r="35" spans="2:32" x14ac:dyDescent="0.25">
      <c r="B35" s="3"/>
      <c r="C35" s="4"/>
      <c r="D35" s="4"/>
      <c r="E35" s="4"/>
      <c r="F35" s="4"/>
      <c r="G35" s="4"/>
      <c r="I35" s="7"/>
      <c r="J35" s="7"/>
      <c r="K35" s="7"/>
      <c r="L35" s="7"/>
      <c r="N35" s="7"/>
      <c r="O35" s="7"/>
      <c r="P35" s="7"/>
      <c r="Q35" s="7"/>
      <c r="S35" s="4"/>
      <c r="T35" s="4"/>
      <c r="U35" s="4"/>
      <c r="V35" s="4"/>
      <c r="X35" s="4"/>
      <c r="Y35" s="4"/>
      <c r="Z35" s="4"/>
      <c r="AA35" s="4"/>
      <c r="AC35" s="4"/>
      <c r="AD35" s="4"/>
      <c r="AE35" s="4"/>
      <c r="AF35" s="4"/>
    </row>
    <row r="36" spans="2:32" x14ac:dyDescent="0.25">
      <c r="B36" s="3" t="s">
        <v>56</v>
      </c>
      <c r="C36" s="7">
        <f>C26/C7</f>
        <v>0.11940350764580422</v>
      </c>
      <c r="D36" s="7">
        <f>D26/D7</f>
        <v>0.10973285633087031</v>
      </c>
      <c r="E36" s="7">
        <f>E26/E7</f>
        <v>7.8598691384950931E-2</v>
      </c>
      <c r="F36" s="7">
        <f>F26/F7</f>
        <v>6.3844421922135464E-2</v>
      </c>
      <c r="G36" s="7">
        <f>G26/G7</f>
        <v>6.4221186231484012E-2</v>
      </c>
      <c r="I36" s="7">
        <f>I26/I7</f>
        <v>0.11049999343668369</v>
      </c>
      <c r="J36" s="7">
        <f>J26/J7</f>
        <v>0.11988873435326843</v>
      </c>
      <c r="K36" s="7">
        <f>K26/K7</f>
        <v>0.12336514669494521</v>
      </c>
      <c r="L36" s="7">
        <f>L26/L7</f>
        <v>0.12230497843982752</v>
      </c>
      <c r="N36" s="7">
        <f>N26/N7</f>
        <v>0.1011754136407876</v>
      </c>
      <c r="O36" s="7">
        <f>O26/O7</f>
        <v>0.10712681647614494</v>
      </c>
      <c r="P36" s="7">
        <f>P26/P7</f>
        <v>0.11369961859602103</v>
      </c>
      <c r="Q36" s="7">
        <f>Q26/Q7</f>
        <v>0.1149096596479761</v>
      </c>
      <c r="S36" s="7">
        <f>S26/S7</f>
        <v>8.6717492912420507E-2</v>
      </c>
      <c r="T36" s="7">
        <f>T26/T7</f>
        <v>6.8020651278651645E-2</v>
      </c>
      <c r="U36" s="7">
        <f>U26/U7</f>
        <v>8.2799950355490148E-2</v>
      </c>
      <c r="V36" s="7">
        <f>V26/V7</f>
        <v>7.6423106846473035E-2</v>
      </c>
      <c r="X36" s="7">
        <f>X26/X7</f>
        <v>5.9611566745005957E-2</v>
      </c>
      <c r="Y36" s="7">
        <f>Y26/Y7</f>
        <v>6.3080363767817713E-2</v>
      </c>
      <c r="Z36" s="7">
        <f>Z26/Z7</f>
        <v>6.1987596183489903E-2</v>
      </c>
      <c r="AA36" s="7">
        <f>AA26/AA7</f>
        <v>6.862822049078976E-2</v>
      </c>
      <c r="AC36" s="7">
        <f>AC26/AC7</f>
        <v>-4.1562028281132569E-2</v>
      </c>
      <c r="AD36" s="7">
        <f>AD26/AD7</f>
        <v>5.4045039322040939E-2</v>
      </c>
      <c r="AE36" s="7">
        <f>AE26/AE7</f>
        <v>7.6534652607501599E-2</v>
      </c>
      <c r="AF36" s="7">
        <f>AF26/AF7</f>
        <v>8.2962424168387214E-2</v>
      </c>
    </row>
    <row r="37" spans="2:32" x14ac:dyDescent="0.25">
      <c r="B37" s="5" t="s">
        <v>57</v>
      </c>
      <c r="C37" s="10">
        <f>AVERAGE(C36:G36)</f>
        <v>8.7160132703048981E-2</v>
      </c>
      <c r="D37" s="8"/>
      <c r="E37" s="8"/>
      <c r="F37" s="8"/>
      <c r="G37" s="8"/>
      <c r="I37" s="10">
        <f>AVERAGE(I36:L36)</f>
        <v>0.11901471323118121</v>
      </c>
      <c r="J37" s="8"/>
      <c r="K37" s="8"/>
      <c r="L37" s="8"/>
      <c r="N37" s="10">
        <f>AVERAGE(N36:Q36)</f>
        <v>0.10922787709023242</v>
      </c>
      <c r="O37" s="8"/>
      <c r="P37" s="8"/>
      <c r="Q37" s="8"/>
      <c r="S37" s="10">
        <f>AVERAGE(S36:V36)</f>
        <v>7.8490300348258837E-2</v>
      </c>
      <c r="T37" s="8"/>
      <c r="U37" s="8"/>
      <c r="V37" s="8"/>
      <c r="X37" s="10">
        <f>AVERAGE(X36:AA36)</f>
        <v>6.332693679677584E-2</v>
      </c>
      <c r="Y37" s="8"/>
      <c r="Z37" s="8"/>
      <c r="AA37" s="8"/>
      <c r="AC37" s="10">
        <f>AVERAGE(AC36:AF36)</f>
        <v>4.2995021954199297E-2</v>
      </c>
      <c r="AD37" s="8"/>
      <c r="AE37" s="8"/>
      <c r="AF37" s="8"/>
    </row>
    <row r="39" spans="2:32" ht="14.4" x14ac:dyDescent="0.3">
      <c r="B39" s="16" t="s">
        <v>142</v>
      </c>
      <c r="C39" s="17">
        <f>(+C26-D26)/D26</f>
        <v>0.24692260816575259</v>
      </c>
      <c r="D39" s="17">
        <f>(+D26-E26)/E26</f>
        <v>0.89732917100242804</v>
      </c>
      <c r="E39" s="17">
        <f>(+E26-F26)/F26</f>
        <v>0.64745995161812908</v>
      </c>
      <c r="F39" s="17">
        <f>(+F26-G26)/G26</f>
        <v>0.31589138300311953</v>
      </c>
      <c r="G39" s="16">
        <v>0</v>
      </c>
      <c r="I39" s="17">
        <f>+(I26-N26)/N26</f>
        <v>0.24581915051058162</v>
      </c>
      <c r="J39" s="17">
        <f>(+J26-I26)/I26</f>
        <v>0.12639581848420053</v>
      </c>
      <c r="K39" s="17">
        <f>(+K26-J26)/J26</f>
        <v>0.17781058848344231</v>
      </c>
      <c r="L39" s="17">
        <f>(+L26-K26)/K26</f>
        <v>6.1604584527220632E-2</v>
      </c>
      <c r="M39"/>
      <c r="N39" s="17">
        <f>+(N26-V26)/V26</f>
        <v>0.43308589607635206</v>
      </c>
      <c r="O39" s="17">
        <f>(+O26-N26)/N26</f>
        <v>9.4272606186177291E-2</v>
      </c>
      <c r="P39" s="17">
        <f>(+P26-O26)/O26</f>
        <v>0.19340005409791722</v>
      </c>
      <c r="Q39" s="17">
        <f>(+Q26-P26)/P26</f>
        <v>0.11570716228467814</v>
      </c>
      <c r="S39" s="17">
        <f>+(S26-AA26)/AA26</f>
        <v>0.27840187058404681</v>
      </c>
      <c r="T39" s="17">
        <f>(+T26-S26)/S26</f>
        <v>-0.25204329578087031</v>
      </c>
      <c r="U39" s="17">
        <f>(+U26-T26)/T26</f>
        <v>0.37920850561134084</v>
      </c>
      <c r="V39" s="17">
        <f>(+V26-U26)/U26</f>
        <v>9.6359743040685224E-3</v>
      </c>
      <c r="X39" s="17">
        <f>+(X26-AF26)/AF26</f>
        <v>-0.4994050442911474</v>
      </c>
      <c r="Y39" s="17">
        <f>(+Y26-X26)/X26</f>
        <v>0.18649825738862083</v>
      </c>
      <c r="Z39" s="17">
        <f>(+Z26-Y26)/Y26</f>
        <v>0.19438794661173425</v>
      </c>
      <c r="AA39" s="17">
        <f>(+AA26-Z26)/Z26</f>
        <v>0.2940351031057824</v>
      </c>
      <c r="AC39" s="17">
        <v>0</v>
      </c>
      <c r="AD39" s="17">
        <f>(+AD26-AC26)/AC26</f>
        <v>-4.3967194043741307</v>
      </c>
      <c r="AE39" s="17">
        <f>(+AE26-AD26)/AD26</f>
        <v>1.1177264351912131</v>
      </c>
      <c r="AF39" s="17">
        <f>(+AF26-AE26)/AE26</f>
        <v>0.2476768369403092</v>
      </c>
    </row>
    <row r="40" spans="2:32" ht="14.4" x14ac:dyDescent="0.3">
      <c r="B40" s="16" t="s">
        <v>57</v>
      </c>
      <c r="C40" s="17">
        <f>+AVERAGE(C39:F39)</f>
        <v>0.52690077844735728</v>
      </c>
      <c r="D40" s="16"/>
      <c r="E40" s="16"/>
      <c r="F40" s="16"/>
      <c r="G40" s="16"/>
      <c r="I40" s="17"/>
      <c r="J40" s="16"/>
      <c r="K40" s="16"/>
      <c r="L40" s="17">
        <f>+AVERAGE(I39:L39)</f>
        <v>0.15290753550136127</v>
      </c>
      <c r="M40"/>
      <c r="N40" s="17"/>
      <c r="O40" s="16"/>
      <c r="P40" s="16"/>
      <c r="Q40" s="17">
        <f>+AVERAGE(N39:Q39)</f>
        <v>0.20911642966128119</v>
      </c>
      <c r="S40" s="17"/>
      <c r="T40" s="16"/>
      <c r="U40" s="16"/>
      <c r="V40" s="17">
        <f>+AVERAGE(S39:V39)</f>
        <v>0.10380076367964647</v>
      </c>
      <c r="X40" s="17"/>
      <c r="Y40" s="16"/>
      <c r="Z40" s="16"/>
      <c r="AA40" s="17">
        <f>+AVERAGE(X39:AA39)</f>
        <v>4.3879065703747513E-2</v>
      </c>
      <c r="AC40" s="17"/>
      <c r="AD40" s="16"/>
      <c r="AE40" s="16"/>
      <c r="AF40" s="17">
        <f>+AVERAGE(AC39:AF39)</f>
        <v>-0.75782903306065208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65F3-5098-4326-AC8B-A35CBA870A35}">
  <dimension ref="B2:I63"/>
  <sheetViews>
    <sheetView zoomScale="115" zoomScaleNormal="115" workbookViewId="0">
      <pane xSplit="2" topLeftCell="C1" activePane="topRight" state="frozen"/>
      <selection pane="topRight" activeCell="D65" sqref="D65"/>
    </sheetView>
  </sheetViews>
  <sheetFormatPr defaultRowHeight="13.8" x14ac:dyDescent="0.25"/>
  <cols>
    <col min="1" max="1" width="8.88671875" style="1"/>
    <col min="2" max="2" width="26.44140625" style="1" bestFit="1" customWidth="1"/>
    <col min="3" max="7" width="11.6640625" style="1" bestFit="1" customWidth="1"/>
    <col min="8" max="8" width="18.21875" style="1" bestFit="1" customWidth="1"/>
    <col min="9" max="9" width="10.21875" style="1" bestFit="1" customWidth="1"/>
    <col min="10" max="16384" width="8.88671875" style="1"/>
  </cols>
  <sheetData>
    <row r="2" spans="2:7" x14ac:dyDescent="0.25">
      <c r="B2" s="2" t="s">
        <v>109</v>
      </c>
    </row>
    <row r="3" spans="2:7" x14ac:dyDescent="0.25">
      <c r="B3" s="2" t="s">
        <v>59</v>
      </c>
      <c r="C3" s="2" t="s">
        <v>9</v>
      </c>
      <c r="D3" s="2" t="s">
        <v>10</v>
      </c>
      <c r="E3" s="2" t="s">
        <v>11</v>
      </c>
      <c r="F3" s="2" t="s">
        <v>12</v>
      </c>
      <c r="G3" s="2" t="s">
        <v>13</v>
      </c>
    </row>
    <row r="4" spans="2:7" x14ac:dyDescent="0.25">
      <c r="B4" s="2" t="s">
        <v>60</v>
      </c>
      <c r="C4" s="4"/>
      <c r="D4" s="4"/>
      <c r="E4" s="4"/>
      <c r="F4" s="4"/>
      <c r="G4" s="4"/>
    </row>
    <row r="5" spans="2:7" x14ac:dyDescent="0.25">
      <c r="B5" s="2" t="s">
        <v>61</v>
      </c>
      <c r="C5" s="4"/>
      <c r="D5" s="4"/>
      <c r="E5" s="4"/>
      <c r="F5" s="4"/>
      <c r="G5" s="4"/>
    </row>
    <row r="6" spans="2:7" x14ac:dyDescent="0.25">
      <c r="B6" s="4" t="s">
        <v>62</v>
      </c>
      <c r="C6" s="4">
        <v>69670</v>
      </c>
      <c r="D6" s="13">
        <v>55954.14</v>
      </c>
      <c r="E6" s="13">
        <v>47227.55</v>
      </c>
      <c r="F6" s="4">
        <v>43726.81</v>
      </c>
      <c r="G6" s="4">
        <v>41611.94</v>
      </c>
    </row>
    <row r="7" spans="2:7" x14ac:dyDescent="0.25">
      <c r="B7" s="4" t="s">
        <v>63</v>
      </c>
      <c r="C7" s="4">
        <v>2774</v>
      </c>
      <c r="D7" s="4">
        <v>4363.67</v>
      </c>
      <c r="E7" s="4">
        <v>2441.4299999999998</v>
      </c>
      <c r="F7" s="4">
        <v>2429.27</v>
      </c>
      <c r="G7" s="4">
        <v>1254.8699999999999</v>
      </c>
    </row>
    <row r="8" spans="2:7" x14ac:dyDescent="0.25">
      <c r="B8" s="4" t="s">
        <v>64</v>
      </c>
      <c r="C8" s="4">
        <v>1495</v>
      </c>
      <c r="D8" s="4">
        <v>1636.77</v>
      </c>
      <c r="E8" s="4">
        <v>1151.72</v>
      </c>
      <c r="F8" s="4">
        <v>1175.29</v>
      </c>
      <c r="G8" s="4">
        <v>1198.8599999999999</v>
      </c>
    </row>
    <row r="9" spans="2:7" x14ac:dyDescent="0.25">
      <c r="B9" s="4" t="s">
        <v>65</v>
      </c>
      <c r="C9" s="4">
        <v>159</v>
      </c>
      <c r="D9" s="4">
        <v>52.24</v>
      </c>
      <c r="E9" s="4">
        <v>116.14</v>
      </c>
      <c r="F9" s="4">
        <v>0</v>
      </c>
      <c r="G9" s="4">
        <v>0</v>
      </c>
    </row>
    <row r="10" spans="2:7" x14ac:dyDescent="0.25">
      <c r="B10" s="4" t="s">
        <v>66</v>
      </c>
      <c r="C10" s="4">
        <f>262+91</f>
        <v>353</v>
      </c>
      <c r="D10" s="4">
        <v>313.25</v>
      </c>
      <c r="E10" s="4">
        <v>249.31</v>
      </c>
      <c r="F10" s="4">
        <v>266.20999999999998</v>
      </c>
      <c r="G10" s="4">
        <v>122.45</v>
      </c>
    </row>
    <row r="11" spans="2:7" x14ac:dyDescent="0.25">
      <c r="B11" s="4" t="s">
        <v>67</v>
      </c>
      <c r="C11" s="4"/>
      <c r="D11" s="4"/>
      <c r="E11" s="4"/>
      <c r="F11" s="4"/>
      <c r="G11" s="4"/>
    </row>
    <row r="12" spans="2:7" x14ac:dyDescent="0.25">
      <c r="B12" s="6" t="s">
        <v>68</v>
      </c>
      <c r="C12" s="4">
        <v>54259</v>
      </c>
      <c r="D12" s="13">
        <v>22453.25</v>
      </c>
      <c r="E12" s="13">
        <v>13674.35</v>
      </c>
      <c r="F12" s="4">
        <v>6878.12</v>
      </c>
      <c r="G12" s="4">
        <v>638.92999999999995</v>
      </c>
    </row>
    <row r="13" spans="2:7" x14ac:dyDescent="0.25">
      <c r="B13" s="6" t="s">
        <v>69</v>
      </c>
      <c r="C13" s="4">
        <v>967</v>
      </c>
      <c r="D13" s="4">
        <v>1097.56</v>
      </c>
      <c r="E13" s="4">
        <v>3482.2</v>
      </c>
      <c r="F13" s="4">
        <v>1657.85</v>
      </c>
      <c r="G13" s="4">
        <v>660.13</v>
      </c>
    </row>
    <row r="14" spans="2:7" x14ac:dyDescent="0.25">
      <c r="B14" s="4" t="s">
        <v>70</v>
      </c>
      <c r="C14" s="4">
        <v>46</v>
      </c>
      <c r="D14" s="4">
        <v>41.1</v>
      </c>
      <c r="E14" s="4">
        <v>67.180000000000007</v>
      </c>
      <c r="F14" s="4">
        <v>0</v>
      </c>
      <c r="G14" s="4">
        <v>0</v>
      </c>
    </row>
    <row r="15" spans="2:7" x14ac:dyDescent="0.25">
      <c r="B15" s="4" t="s">
        <v>71</v>
      </c>
      <c r="C15" s="4">
        <v>60</v>
      </c>
      <c r="D15" s="4">
        <v>61.5</v>
      </c>
      <c r="E15" s="4">
        <v>0</v>
      </c>
      <c r="F15" s="4">
        <v>0</v>
      </c>
      <c r="G15" s="4">
        <v>0</v>
      </c>
    </row>
    <row r="16" spans="2:7" x14ac:dyDescent="0.25">
      <c r="B16" s="4" t="s">
        <v>72</v>
      </c>
      <c r="C16" s="4">
        <v>9045</v>
      </c>
      <c r="D16" s="4">
        <v>3670.99</v>
      </c>
      <c r="E16" s="4">
        <v>415.66</v>
      </c>
      <c r="F16" s="4">
        <v>651.64</v>
      </c>
      <c r="G16" s="4">
        <f>972.66+14.19</f>
        <v>986.85</v>
      </c>
    </row>
    <row r="17" spans="2:9" x14ac:dyDescent="0.25">
      <c r="B17" s="2" t="s">
        <v>73</v>
      </c>
      <c r="C17" s="2">
        <f>+SUM(C6:C16)</f>
        <v>138828</v>
      </c>
      <c r="D17" s="2">
        <f>+SUM(D6:D16)</f>
        <v>89644.47</v>
      </c>
      <c r="E17" s="2">
        <f>+SUM(E6:E16)</f>
        <v>68825.539999999994</v>
      </c>
      <c r="F17" s="2">
        <f>+SUM(F6:F16)</f>
        <v>56785.189999999995</v>
      </c>
      <c r="G17" s="2">
        <f>+SUM(G6:G16)</f>
        <v>46474.03</v>
      </c>
    </row>
    <row r="18" spans="2:9" x14ac:dyDescent="0.25">
      <c r="B18" s="4"/>
      <c r="C18" s="4"/>
      <c r="D18" s="4"/>
      <c r="E18" s="4"/>
      <c r="F18" s="4"/>
      <c r="G18" s="4"/>
    </row>
    <row r="19" spans="2:9" x14ac:dyDescent="0.25">
      <c r="B19" s="2" t="s">
        <v>74</v>
      </c>
      <c r="C19" s="4"/>
      <c r="D19" s="4"/>
      <c r="E19" s="4"/>
      <c r="F19" s="4"/>
      <c r="G19" s="4"/>
    </row>
    <row r="20" spans="2:9" x14ac:dyDescent="0.25">
      <c r="B20" s="4" t="s">
        <v>75</v>
      </c>
      <c r="C20" s="4">
        <v>51511</v>
      </c>
      <c r="D20" s="13">
        <v>55339.99</v>
      </c>
      <c r="E20" s="4">
        <v>41854.410000000003</v>
      </c>
      <c r="F20" s="4">
        <v>33337.29</v>
      </c>
      <c r="G20" s="4">
        <v>26604.76</v>
      </c>
    </row>
    <row r="21" spans="2:9" x14ac:dyDescent="0.25">
      <c r="B21" s="4" t="s">
        <v>67</v>
      </c>
      <c r="C21" s="4"/>
      <c r="D21" s="13"/>
      <c r="E21" s="4"/>
      <c r="F21" s="4"/>
      <c r="G21" s="4"/>
    </row>
    <row r="22" spans="2:9" x14ac:dyDescent="0.25">
      <c r="B22" s="4" t="s">
        <v>76</v>
      </c>
      <c r="C22" s="4">
        <v>37557</v>
      </c>
      <c r="D22" s="13">
        <v>36957.519999999997</v>
      </c>
      <c r="E22" s="4">
        <v>21191.42</v>
      </c>
      <c r="F22" s="4">
        <v>11046.58</v>
      </c>
      <c r="G22" s="4">
        <v>2504.7399999999998</v>
      </c>
    </row>
    <row r="23" spans="2:9" x14ac:dyDescent="0.25">
      <c r="B23" s="4" t="s">
        <v>77</v>
      </c>
      <c r="C23" s="4">
        <v>26466</v>
      </c>
      <c r="D23" s="4">
        <v>16430.86</v>
      </c>
      <c r="E23" s="4">
        <v>16933.57</v>
      </c>
      <c r="F23" s="4">
        <v>18872.419999999998</v>
      </c>
      <c r="G23" s="4">
        <v>22467.759999999998</v>
      </c>
      <c r="H23" s="1">
        <f>+C23+C20</f>
        <v>77977</v>
      </c>
      <c r="I23" s="1">
        <f>+H23-H24</f>
        <v>-2883</v>
      </c>
    </row>
    <row r="24" spans="2:9" x14ac:dyDescent="0.25">
      <c r="B24" s="4" t="s">
        <v>78</v>
      </c>
      <c r="C24" s="4">
        <v>4884</v>
      </c>
      <c r="D24" s="4">
        <v>4820.6499999999996</v>
      </c>
      <c r="E24" s="4">
        <v>2148.15</v>
      </c>
      <c r="F24" s="4">
        <v>572.39</v>
      </c>
      <c r="G24" s="4">
        <v>3288.7</v>
      </c>
      <c r="H24" s="1">
        <f>+C54</f>
        <v>80860</v>
      </c>
    </row>
    <row r="25" spans="2:9" ht="27.6" x14ac:dyDescent="0.25">
      <c r="B25" s="11" t="s">
        <v>79</v>
      </c>
      <c r="C25" s="4">
        <v>663</v>
      </c>
      <c r="D25" s="4">
        <v>6220.49</v>
      </c>
      <c r="E25" s="4">
        <v>2747.48</v>
      </c>
      <c r="F25" s="4">
        <v>858.11</v>
      </c>
      <c r="G25" s="4">
        <v>362.67</v>
      </c>
    </row>
    <row r="26" spans="2:9" x14ac:dyDescent="0.25">
      <c r="B26" s="4" t="s">
        <v>80</v>
      </c>
      <c r="C26" s="4">
        <v>86</v>
      </c>
      <c r="D26" s="4">
        <v>82.86</v>
      </c>
      <c r="E26" s="4">
        <v>65.569999999999993</v>
      </c>
      <c r="F26" s="4">
        <v>0</v>
      </c>
      <c r="G26" s="4">
        <v>0</v>
      </c>
    </row>
    <row r="27" spans="2:9" x14ac:dyDescent="0.25">
      <c r="B27" s="4" t="s">
        <v>81</v>
      </c>
      <c r="C27" s="4">
        <v>1173</v>
      </c>
      <c r="D27" s="4">
        <v>940.44</v>
      </c>
      <c r="E27" s="4">
        <v>777.61</v>
      </c>
      <c r="F27" s="4">
        <v>298.52999999999997</v>
      </c>
      <c r="G27" s="4">
        <v>230.2</v>
      </c>
    </row>
    <row r="28" spans="2:9" x14ac:dyDescent="0.25">
      <c r="B28" s="4" t="s">
        <v>82</v>
      </c>
      <c r="C28" s="4">
        <v>9416</v>
      </c>
      <c r="D28" s="4">
        <v>6484.03</v>
      </c>
      <c r="E28" s="4">
        <v>5430.25</v>
      </c>
      <c r="F28" s="4">
        <f>6429.46+36.61</f>
        <v>6466.07</v>
      </c>
      <c r="G28" s="4">
        <f>3572.74+22.93</f>
        <v>3595.6699999999996</v>
      </c>
    </row>
    <row r="29" spans="2:9" x14ac:dyDescent="0.25">
      <c r="B29" s="4" t="s">
        <v>110</v>
      </c>
      <c r="C29" s="4">
        <v>501</v>
      </c>
      <c r="D29" s="4">
        <v>0</v>
      </c>
      <c r="E29" s="4">
        <v>0</v>
      </c>
      <c r="F29" s="4">
        <v>0</v>
      </c>
      <c r="G29" s="4">
        <v>0</v>
      </c>
    </row>
    <row r="30" spans="2:9" x14ac:dyDescent="0.25">
      <c r="B30" s="2" t="s">
        <v>83</v>
      </c>
      <c r="C30" s="2">
        <f>+SUM(C20:C29)</f>
        <v>132257</v>
      </c>
      <c r="D30" s="2">
        <f t="shared" ref="D30:G30" si="0">+SUM(D20:D29)</f>
        <v>127276.84</v>
      </c>
      <c r="E30" s="2">
        <f t="shared" si="0"/>
        <v>91148.459999999992</v>
      </c>
      <c r="F30" s="2">
        <f t="shared" si="0"/>
        <v>71451.39</v>
      </c>
      <c r="G30" s="2">
        <f t="shared" si="0"/>
        <v>59054.499999999985</v>
      </c>
    </row>
    <row r="31" spans="2:9" x14ac:dyDescent="0.25">
      <c r="B31" s="5" t="s">
        <v>84</v>
      </c>
      <c r="C31" s="5">
        <f>+C30+C17</f>
        <v>271085</v>
      </c>
      <c r="D31" s="5">
        <f>+D30+D17</f>
        <v>216921.31</v>
      </c>
      <c r="E31" s="5">
        <f>+E30+E17</f>
        <v>159974</v>
      </c>
      <c r="F31" s="5">
        <f>+F30+F17</f>
        <v>128236.57999999999</v>
      </c>
      <c r="G31" s="5">
        <f>+G30+G17</f>
        <v>105528.52999999998</v>
      </c>
    </row>
    <row r="32" spans="2:9" x14ac:dyDescent="0.25">
      <c r="B32" s="4"/>
      <c r="C32" s="4"/>
      <c r="D32" s="4"/>
      <c r="E32" s="4"/>
      <c r="F32" s="4"/>
      <c r="G32" s="4"/>
    </row>
    <row r="33" spans="2:7" x14ac:dyDescent="0.25">
      <c r="B33" s="2" t="s">
        <v>85</v>
      </c>
      <c r="C33" s="4"/>
      <c r="D33" s="4"/>
      <c r="E33" s="4"/>
      <c r="F33" s="4"/>
      <c r="G33" s="4"/>
    </row>
    <row r="34" spans="2:7" x14ac:dyDescent="0.25">
      <c r="B34" s="2" t="s">
        <v>86</v>
      </c>
      <c r="C34" s="4"/>
      <c r="D34" s="4"/>
      <c r="E34" s="4"/>
      <c r="F34" s="4"/>
      <c r="G34" s="4"/>
    </row>
    <row r="35" spans="2:7" x14ac:dyDescent="0.25">
      <c r="B35" s="4" t="s">
        <v>87</v>
      </c>
      <c r="C35" s="4">
        <v>2382</v>
      </c>
      <c r="D35" s="4">
        <v>2381.66</v>
      </c>
      <c r="E35" s="4">
        <v>2381.66</v>
      </c>
      <c r="F35" s="4">
        <v>2381.66</v>
      </c>
      <c r="G35" s="4">
        <v>2269.66</v>
      </c>
    </row>
    <row r="36" spans="2:7" x14ac:dyDescent="0.25">
      <c r="B36" s="4" t="s">
        <v>88</v>
      </c>
      <c r="C36" s="4">
        <v>159091</v>
      </c>
      <c r="D36" s="4">
        <v>120602.44</v>
      </c>
      <c r="E36" s="4">
        <v>89474.23</v>
      </c>
      <c r="F36" s="4">
        <v>73029.98</v>
      </c>
      <c r="G36" s="4">
        <v>50057.64</v>
      </c>
    </row>
    <row r="37" spans="2:7" ht="27.6" x14ac:dyDescent="0.25">
      <c r="B37" s="12" t="s">
        <v>89</v>
      </c>
      <c r="C37" s="3">
        <f>+C35+C36</f>
        <v>161473</v>
      </c>
      <c r="D37" s="3">
        <f>+D35+D36</f>
        <v>122984.1</v>
      </c>
      <c r="E37" s="3">
        <f>+E35+E36</f>
        <v>91855.89</v>
      </c>
      <c r="F37" s="3">
        <f>+F35+F36</f>
        <v>75411.64</v>
      </c>
      <c r="G37" s="3">
        <f>+G35+G36</f>
        <v>52327.3</v>
      </c>
    </row>
    <row r="38" spans="2:7" x14ac:dyDescent="0.25">
      <c r="B38" s="4" t="s">
        <v>90</v>
      </c>
      <c r="C38" s="4">
        <v>171</v>
      </c>
      <c r="D38" s="4">
        <v>166.05</v>
      </c>
      <c r="E38" s="4">
        <v>162.34</v>
      </c>
      <c r="F38" s="4">
        <v>23.97</v>
      </c>
      <c r="G38" s="4">
        <v>26.36</v>
      </c>
    </row>
    <row r="39" spans="2:7" x14ac:dyDescent="0.25">
      <c r="B39" s="2" t="s">
        <v>91</v>
      </c>
      <c r="C39" s="2">
        <f>+C37+C38</f>
        <v>161644</v>
      </c>
      <c r="D39" s="2">
        <f>+D37+D38</f>
        <v>123150.15000000001</v>
      </c>
      <c r="E39" s="2">
        <f>+E37+E38</f>
        <v>92018.23</v>
      </c>
      <c r="F39" s="2">
        <f>+F37+F38</f>
        <v>75435.61</v>
      </c>
      <c r="G39" s="2">
        <f>+G37+G38</f>
        <v>52353.66</v>
      </c>
    </row>
    <row r="40" spans="2:7" x14ac:dyDescent="0.25">
      <c r="B40" s="4"/>
      <c r="C40" s="4"/>
      <c r="D40" s="4"/>
      <c r="E40" s="4"/>
      <c r="F40" s="4"/>
      <c r="G40" s="4"/>
    </row>
    <row r="41" spans="2:7" x14ac:dyDescent="0.25">
      <c r="B41" s="2" t="s">
        <v>92</v>
      </c>
      <c r="C41" s="4"/>
      <c r="D41" s="4"/>
      <c r="E41" s="4"/>
      <c r="F41" s="4"/>
      <c r="G41" s="4"/>
    </row>
    <row r="42" spans="2:7" x14ac:dyDescent="0.25">
      <c r="B42" s="2" t="s">
        <v>93</v>
      </c>
      <c r="C42" s="4"/>
      <c r="D42" s="4"/>
      <c r="E42" s="4"/>
      <c r="F42" s="4"/>
      <c r="G42" s="4"/>
    </row>
    <row r="43" spans="2:7" x14ac:dyDescent="0.25">
      <c r="B43" s="2" t="s">
        <v>94</v>
      </c>
      <c r="C43" s="4"/>
      <c r="D43" s="4"/>
      <c r="E43" s="4"/>
      <c r="F43" s="4"/>
      <c r="G43" s="4"/>
    </row>
    <row r="44" spans="2:7" x14ac:dyDescent="0.25">
      <c r="B44" s="4" t="s">
        <v>100</v>
      </c>
      <c r="C44" s="4">
        <v>0</v>
      </c>
      <c r="D44" s="4">
        <v>0</v>
      </c>
      <c r="E44" s="4">
        <v>0</v>
      </c>
      <c r="F44" s="4">
        <v>0</v>
      </c>
      <c r="G44" s="4">
        <v>2013.4</v>
      </c>
    </row>
    <row r="45" spans="2:7" x14ac:dyDescent="0.25">
      <c r="B45" s="4" t="s">
        <v>101</v>
      </c>
      <c r="C45" s="4">
        <v>127</v>
      </c>
      <c r="D45" s="4">
        <v>22.4</v>
      </c>
      <c r="E45" s="4">
        <v>68.72</v>
      </c>
      <c r="F45" s="4">
        <v>124.5</v>
      </c>
      <c r="G45" s="4">
        <v>13.46</v>
      </c>
    </row>
    <row r="46" spans="2:7" x14ac:dyDescent="0.25">
      <c r="B46" s="4" t="s">
        <v>95</v>
      </c>
      <c r="C46" s="4">
        <v>384</v>
      </c>
      <c r="D46" s="4">
        <v>322.32</v>
      </c>
      <c r="E46" s="4">
        <v>265.62</v>
      </c>
      <c r="F46" s="4">
        <v>228.1</v>
      </c>
      <c r="G46" s="4">
        <v>185.35</v>
      </c>
    </row>
    <row r="47" spans="2:7" x14ac:dyDescent="0.25">
      <c r="B47" s="4" t="s">
        <v>96</v>
      </c>
      <c r="C47" s="4">
        <v>780</v>
      </c>
      <c r="D47" s="4">
        <v>969.88</v>
      </c>
      <c r="E47" s="4">
        <v>1334.26</v>
      </c>
      <c r="F47" s="4">
        <v>1347.64</v>
      </c>
      <c r="G47" s="4">
        <v>1605.94</v>
      </c>
    </row>
    <row r="48" spans="2:7" x14ac:dyDescent="0.25">
      <c r="B48" s="2" t="s">
        <v>97</v>
      </c>
      <c r="C48" s="2">
        <f>SUM(C44:C47)</f>
        <v>1291</v>
      </c>
      <c r="D48" s="2">
        <f>SUM(D44:D47)</f>
        <v>1314.6</v>
      </c>
      <c r="E48" s="2">
        <f>SUM(E44:E47)</f>
        <v>1668.6</v>
      </c>
      <c r="F48" s="2">
        <f>SUM(F44:F47)</f>
        <v>1700.2400000000002</v>
      </c>
      <c r="G48" s="2">
        <f>SUM(G44:G47)</f>
        <v>3818.15</v>
      </c>
    </row>
    <row r="49" spans="2:7" x14ac:dyDescent="0.25">
      <c r="B49" s="4"/>
      <c r="C49" s="4"/>
      <c r="D49" s="4"/>
      <c r="E49" s="4"/>
      <c r="F49" s="4"/>
      <c r="G49" s="4"/>
    </row>
    <row r="50" spans="2:7" x14ac:dyDescent="0.25">
      <c r="B50" s="2" t="s">
        <v>98</v>
      </c>
      <c r="C50" s="4"/>
      <c r="D50" s="4"/>
      <c r="E50" s="4"/>
      <c r="F50" s="4"/>
      <c r="G50" s="4"/>
    </row>
    <row r="51" spans="2:7" x14ac:dyDescent="0.25">
      <c r="B51" s="4" t="s">
        <v>99</v>
      </c>
      <c r="C51" s="4"/>
      <c r="D51" s="4"/>
      <c r="E51" s="4"/>
      <c r="F51" s="4"/>
      <c r="G51" s="4"/>
    </row>
    <row r="52" spans="2:7" x14ac:dyDescent="0.25">
      <c r="B52" s="4" t="s">
        <v>100</v>
      </c>
      <c r="C52" s="4">
        <v>1479</v>
      </c>
      <c r="D52" s="4">
        <v>387.81</v>
      </c>
      <c r="E52" s="4">
        <v>620.32000000000005</v>
      </c>
      <c r="F52" s="4">
        <v>760.48</v>
      </c>
      <c r="G52" s="4">
        <v>3408.66</v>
      </c>
    </row>
    <row r="53" spans="2:7" x14ac:dyDescent="0.25">
      <c r="B53" s="4" t="s">
        <v>101</v>
      </c>
      <c r="C53" s="4">
        <v>38</v>
      </c>
      <c r="D53" s="4">
        <v>36.04</v>
      </c>
      <c r="E53" s="4">
        <v>55.78</v>
      </c>
      <c r="F53" s="4">
        <v>53.25</v>
      </c>
      <c r="G53" s="4">
        <v>22.18</v>
      </c>
    </row>
    <row r="54" spans="2:7" x14ac:dyDescent="0.25">
      <c r="B54" s="4" t="s">
        <v>102</v>
      </c>
      <c r="C54" s="4">
        <f>21574+59286</f>
        <v>80860</v>
      </c>
      <c r="D54" s="13">
        <f>8604.76+60189.58</f>
        <v>68794.34</v>
      </c>
      <c r="E54" s="13">
        <f>12035.64+38056.78</f>
        <v>50092.42</v>
      </c>
      <c r="F54" s="4">
        <f>869.74+35235.61</f>
        <v>36105.35</v>
      </c>
      <c r="G54" s="4">
        <f>3851.68+29198.41</f>
        <v>33050.089999999997</v>
      </c>
    </row>
    <row r="55" spans="2:7" x14ac:dyDescent="0.25">
      <c r="B55" s="11" t="s">
        <v>103</v>
      </c>
      <c r="C55" s="4">
        <v>3178</v>
      </c>
      <c r="D55" s="13">
        <v>4140.67</v>
      </c>
      <c r="E55" s="13">
        <v>2309.5700000000002</v>
      </c>
      <c r="F55" s="4">
        <v>9446.15</v>
      </c>
      <c r="G55" s="4">
        <v>8752.5499999999993</v>
      </c>
    </row>
    <row r="56" spans="2:7" x14ac:dyDescent="0.25">
      <c r="B56" s="4" t="s">
        <v>104</v>
      </c>
      <c r="C56" s="4">
        <v>20443</v>
      </c>
      <c r="D56" s="13">
        <v>18014.77</v>
      </c>
      <c r="E56" s="13">
        <v>12958.34</v>
      </c>
      <c r="F56" s="4">
        <v>4184.97</v>
      </c>
      <c r="G56" s="4">
        <v>3797.46</v>
      </c>
    </row>
    <row r="57" spans="2:7" x14ac:dyDescent="0.25">
      <c r="B57" s="4" t="s">
        <v>95</v>
      </c>
      <c r="C57" s="4">
        <v>464</v>
      </c>
      <c r="D57" s="4">
        <v>380.76</v>
      </c>
      <c r="E57" s="4">
        <v>250.74</v>
      </c>
      <c r="F57" s="4">
        <v>178.96</v>
      </c>
      <c r="G57" s="4">
        <v>141.84</v>
      </c>
    </row>
    <row r="58" spans="2:7" x14ac:dyDescent="0.25">
      <c r="B58" s="4" t="s">
        <v>105</v>
      </c>
      <c r="C58" s="4">
        <v>1688</v>
      </c>
      <c r="D58" s="4">
        <v>702.17</v>
      </c>
      <c r="E58" s="4">
        <v>0</v>
      </c>
      <c r="F58" s="4">
        <v>371.57</v>
      </c>
      <c r="G58" s="4">
        <v>183.94</v>
      </c>
    </row>
    <row r="59" spans="2:7" x14ac:dyDescent="0.25">
      <c r="B59" s="14" t="s">
        <v>106</v>
      </c>
      <c r="C59" s="14">
        <f>SUM(C52:C58)</f>
        <v>108150</v>
      </c>
      <c r="D59" s="14">
        <f>SUM(D52:D58)</f>
        <v>92456.56</v>
      </c>
      <c r="E59" s="14">
        <f>SUM(E52:E58)</f>
        <v>66287.17</v>
      </c>
      <c r="F59" s="14">
        <f>SUM(F52:F58)</f>
        <v>51100.73</v>
      </c>
      <c r="G59" s="14">
        <f>SUM(G52:G58)</f>
        <v>49356.719999999994</v>
      </c>
    </row>
    <row r="60" spans="2:7" x14ac:dyDescent="0.25">
      <c r="B60" s="2" t="s">
        <v>107</v>
      </c>
      <c r="C60" s="2">
        <f>+C59+C48</f>
        <v>109441</v>
      </c>
      <c r="D60" s="2">
        <f>+D59+D48</f>
        <v>93771.16</v>
      </c>
      <c r="E60" s="2">
        <f>+E59+E48</f>
        <v>67955.77</v>
      </c>
      <c r="F60" s="2">
        <f>+F59+F48</f>
        <v>52800.97</v>
      </c>
      <c r="G60" s="2">
        <f>+G59+G48</f>
        <v>53174.869999999995</v>
      </c>
    </row>
    <row r="61" spans="2:7" x14ac:dyDescent="0.25">
      <c r="B61" s="4"/>
      <c r="C61" s="4"/>
      <c r="D61" s="4"/>
      <c r="E61" s="4"/>
      <c r="F61" s="4"/>
      <c r="G61" s="4"/>
    </row>
    <row r="62" spans="2:7" x14ac:dyDescent="0.25">
      <c r="B62" s="2" t="s">
        <v>108</v>
      </c>
      <c r="C62" s="2">
        <f>+C60+C39</f>
        <v>271085</v>
      </c>
      <c r="D62" s="2">
        <f>+D60+D39</f>
        <v>216921.31</v>
      </c>
      <c r="E62" s="2">
        <f>+E60+E39</f>
        <v>159974</v>
      </c>
      <c r="F62" s="2">
        <f>+F60+F39</f>
        <v>128236.58</v>
      </c>
      <c r="G62" s="2">
        <f>+G60+G39</f>
        <v>105528.53</v>
      </c>
    </row>
    <row r="63" spans="2:7" x14ac:dyDescent="0.25">
      <c r="C63" s="1">
        <f>+C62-C31</f>
        <v>0</v>
      </c>
      <c r="D63" s="1">
        <f>+D62-D31</f>
        <v>0</v>
      </c>
      <c r="E63" s="1">
        <f>+E62-E31</f>
        <v>0</v>
      </c>
      <c r="F63" s="1">
        <f>+F62-F31</f>
        <v>0</v>
      </c>
      <c r="G63" s="1">
        <f>+G62-G31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894E8-BA70-4ECC-9104-6720F4A95D8E}">
  <dimension ref="B2:J40"/>
  <sheetViews>
    <sheetView zoomScale="115" zoomScaleNormal="115" workbookViewId="0">
      <selection activeCell="C37" sqref="C37"/>
    </sheetView>
  </sheetViews>
  <sheetFormatPr defaultRowHeight="13.8" x14ac:dyDescent="0.25"/>
  <cols>
    <col min="1" max="1" width="8.88671875" style="1"/>
    <col min="2" max="2" width="19.21875" style="1" customWidth="1"/>
    <col min="3" max="4" width="12.33203125" style="1" bestFit="1" customWidth="1"/>
    <col min="5" max="6" width="11.33203125" style="1" bestFit="1" customWidth="1"/>
    <col min="7" max="7" width="10.6640625" style="1" bestFit="1" customWidth="1"/>
    <col min="8" max="8" width="17" style="1" bestFit="1" customWidth="1"/>
    <col min="9" max="16384" width="8.88671875" style="1"/>
  </cols>
  <sheetData>
    <row r="2" spans="2:7" x14ac:dyDescent="0.25">
      <c r="B2" s="2" t="s">
        <v>59</v>
      </c>
      <c r="C2" s="2" t="s">
        <v>9</v>
      </c>
      <c r="D2" s="2" t="s">
        <v>10</v>
      </c>
      <c r="E2" s="2" t="s">
        <v>11</v>
      </c>
      <c r="F2" s="2" t="s">
        <v>12</v>
      </c>
      <c r="G2" s="2" t="s">
        <v>13</v>
      </c>
    </row>
    <row r="3" spans="2:7" x14ac:dyDescent="0.25">
      <c r="B3" s="4"/>
      <c r="C3" s="4"/>
      <c r="D3" s="4"/>
      <c r="E3" s="4"/>
      <c r="F3" s="4"/>
      <c r="G3" s="4"/>
    </row>
    <row r="4" spans="2:7" x14ac:dyDescent="0.25">
      <c r="B4" s="4" t="s">
        <v>111</v>
      </c>
      <c r="C4" s="4">
        <v>54912</v>
      </c>
      <c r="D4" s="4">
        <v>43393.71</v>
      </c>
      <c r="E4" s="4">
        <v>23374.63</v>
      </c>
      <c r="F4" s="4">
        <v>13729.73</v>
      </c>
      <c r="G4" s="4">
        <v>10811.14</v>
      </c>
    </row>
    <row r="5" spans="2:7" ht="27.6" x14ac:dyDescent="0.25">
      <c r="B5" s="11" t="s">
        <v>112</v>
      </c>
      <c r="C5" s="4">
        <f>2831-241+10-4027-27-54-5025-161+2865+134+1002+234-11+1931</f>
        <v>-539</v>
      </c>
      <c r="D5" s="4">
        <f>2323.78+49.45+73.52-1.21+1.6-2034.01-64.47-40.27-4241.82-96.89+2316.81+1523.08-631.23+393.77+1494.1</f>
        <v>1066.21</v>
      </c>
      <c r="E5" s="4">
        <f>1800-1986.01-6.17-855.54-138.75-6.6-466.59-70.86+1028.8+472.58+2187.74-324.36+305.43+335.55</f>
        <v>2275.2199999999998</v>
      </c>
      <c r="F5" s="4">
        <f>1541.26-32.82+11.13-0.71-15.41-175.38-417.41-38.84+1375.03+149.54+746.02</f>
        <v>3142.41</v>
      </c>
      <c r="G5" s="4">
        <f>1394.48-538.64+17.35-2.58-28.7-62-462.94-43.75+1218.35+494.26+716.87</f>
        <v>2702.7</v>
      </c>
    </row>
    <row r="6" spans="2:7" ht="41.4" x14ac:dyDescent="0.25">
      <c r="B6" s="12" t="s">
        <v>113</v>
      </c>
      <c r="C6" s="3">
        <f>+C4+C5</f>
        <v>54373</v>
      </c>
      <c r="D6" s="3">
        <f>+D4+D5</f>
        <v>44459.92</v>
      </c>
      <c r="E6" s="3">
        <f>+E4+E5</f>
        <v>25649.850000000002</v>
      </c>
      <c r="F6" s="3">
        <f>+F4+F5</f>
        <v>16872.14</v>
      </c>
      <c r="G6" s="3">
        <f>+G4+G5</f>
        <v>13513.84</v>
      </c>
    </row>
    <row r="7" spans="2:7" x14ac:dyDescent="0.25">
      <c r="B7" s="4" t="s">
        <v>114</v>
      </c>
      <c r="C7" s="4">
        <f>-11032+1898-4+208-2957+10579-125-453+2056</f>
        <v>170</v>
      </c>
      <c r="D7" s="4">
        <f>(-1010.88-14979.68-17.29+975.68-1043.4+18795.47-257.98+1578.65+5104.96)</f>
        <v>9145.5300000000025</v>
      </c>
      <c r="E7" s="4">
        <f>-222.11-8852.67+12.43-1616.82+1063.39+9114.8-196.13+193.41+8773.14</f>
        <v>8269.4399999999987</v>
      </c>
      <c r="F7" s="4">
        <f>3268.99-6732.53+7.25-3426.88+3034.95+79.87+693.07+387.51</f>
        <v>-2687.7700000000004</v>
      </c>
      <c r="G7" s="4">
        <f>-8305.23+463.8-49.43+622.44+992.25-53.49+2347.95+1475.02</f>
        <v>-2506.69</v>
      </c>
    </row>
    <row r="8" spans="2:7" ht="41.4" x14ac:dyDescent="0.25">
      <c r="B8" s="12" t="s">
        <v>115</v>
      </c>
      <c r="C8" s="3">
        <f>+C6+C7</f>
        <v>54543</v>
      </c>
      <c r="D8" s="3">
        <f>+D6+D7</f>
        <v>53605.45</v>
      </c>
      <c r="E8" s="3">
        <f>+E6+E7</f>
        <v>33919.29</v>
      </c>
      <c r="F8" s="3">
        <f>+F6+F7</f>
        <v>14184.369999999999</v>
      </c>
      <c r="G8" s="3">
        <f>+G6+G7</f>
        <v>11007.15</v>
      </c>
    </row>
    <row r="9" spans="2:7" x14ac:dyDescent="0.25">
      <c r="B9" s="4" t="s">
        <v>116</v>
      </c>
      <c r="C9" s="4">
        <v>-13345</v>
      </c>
      <c r="D9" s="4">
        <v>-10263.43</v>
      </c>
      <c r="E9" s="4">
        <v>-6491.51</v>
      </c>
      <c r="F9" s="4">
        <v>-3288.22</v>
      </c>
      <c r="G9" s="4">
        <v>-2400.88</v>
      </c>
    </row>
    <row r="10" spans="2:7" ht="41.4" x14ac:dyDescent="0.25">
      <c r="B10" s="15" t="s">
        <v>117</v>
      </c>
      <c r="C10" s="2">
        <f>+C8+C9</f>
        <v>41198</v>
      </c>
      <c r="D10" s="2">
        <f>+D8+D9</f>
        <v>43342.02</v>
      </c>
      <c r="E10" s="2">
        <f>+E8+E9</f>
        <v>27427.78</v>
      </c>
      <c r="F10" s="2">
        <f>+F8+F9</f>
        <v>10896.15</v>
      </c>
      <c r="G10" s="2">
        <f>+G8+G9</f>
        <v>8606.27</v>
      </c>
    </row>
    <row r="11" spans="2:7" x14ac:dyDescent="0.25">
      <c r="B11" s="4"/>
      <c r="C11" s="4"/>
      <c r="D11" s="4"/>
      <c r="E11" s="4"/>
      <c r="F11" s="4"/>
      <c r="G11" s="4"/>
    </row>
    <row r="12" spans="2:7" ht="27.6" x14ac:dyDescent="0.25">
      <c r="B12" s="12" t="s">
        <v>118</v>
      </c>
      <c r="C12" s="4"/>
      <c r="D12" s="4"/>
      <c r="E12" s="4"/>
      <c r="F12" s="4"/>
      <c r="G12" s="4"/>
    </row>
    <row r="13" spans="2:7" x14ac:dyDescent="0.25">
      <c r="B13" s="4" t="s">
        <v>62</v>
      </c>
      <c r="C13" s="4">
        <v>-22100</v>
      </c>
      <c r="D13" s="4">
        <v>-17504.96</v>
      </c>
      <c r="E13" s="4">
        <v>-7388.4</v>
      </c>
      <c r="F13" s="4">
        <f>-3776.82-195.21</f>
        <v>-3972.03</v>
      </c>
      <c r="G13" s="4">
        <f>-4320.21-63</f>
        <v>-4383.21</v>
      </c>
    </row>
    <row r="14" spans="2:7" ht="27.6" x14ac:dyDescent="0.25">
      <c r="B14" s="11" t="s">
        <v>119</v>
      </c>
      <c r="C14" s="4">
        <v>1548</v>
      </c>
      <c r="D14" s="4">
        <v>976.68</v>
      </c>
      <c r="E14" s="4">
        <v>3749.1</v>
      </c>
      <c r="F14" s="4">
        <v>395.08</v>
      </c>
      <c r="G14" s="4">
        <v>1775.55</v>
      </c>
    </row>
    <row r="15" spans="2:7" ht="27.6" x14ac:dyDescent="0.25">
      <c r="B15" s="11" t="s">
        <v>120</v>
      </c>
      <c r="C15" s="4">
        <v>-73759</v>
      </c>
      <c r="D15" s="4">
        <v>-55884.17</v>
      </c>
      <c r="E15" s="4">
        <v>-52506.71</v>
      </c>
      <c r="F15" s="4">
        <v>-853.38</v>
      </c>
      <c r="G15" s="4">
        <f>1006.27</f>
        <v>1006.27</v>
      </c>
    </row>
    <row r="16" spans="2:7" ht="27.6" x14ac:dyDescent="0.25">
      <c r="B16" s="11" t="s">
        <v>121</v>
      </c>
      <c r="C16" s="4">
        <v>46022</v>
      </c>
      <c r="D16" s="4">
        <v>36011.58</v>
      </c>
      <c r="E16" s="4">
        <v>36031.83</v>
      </c>
      <c r="F16" s="4">
        <v>-14781.03</v>
      </c>
      <c r="G16" s="4">
        <f>-349.67</f>
        <v>-349.67</v>
      </c>
    </row>
    <row r="17" spans="2:7" ht="27.6" x14ac:dyDescent="0.25">
      <c r="B17" s="11" t="s">
        <v>122</v>
      </c>
      <c r="C17" s="4">
        <f>-1021+6083+4743</f>
        <v>9805</v>
      </c>
      <c r="D17" s="4">
        <f>-4214.02+2119.79+1535.23</f>
        <v>-559.00000000000045</v>
      </c>
      <c r="E17" s="4">
        <f>-5862.9+3154+994.29</f>
        <v>-1714.6099999999997</v>
      </c>
      <c r="F17" s="4">
        <f>-1509.47+116.1+417.41</f>
        <v>-975.96</v>
      </c>
      <c r="G17" s="4">
        <f>-240.19+62+462.94</f>
        <v>284.75</v>
      </c>
    </row>
    <row r="18" spans="2:7" ht="27.6" x14ac:dyDescent="0.25">
      <c r="B18" s="11" t="s">
        <v>123</v>
      </c>
      <c r="C18" s="4">
        <f>54+161</f>
        <v>215</v>
      </c>
      <c r="D18" s="4">
        <f>40.27+96.89</f>
        <v>137.16</v>
      </c>
      <c r="E18" s="4">
        <f>6.6+70.86</f>
        <v>77.459999999999994</v>
      </c>
      <c r="F18" s="4">
        <v>38.840000000000003</v>
      </c>
      <c r="G18" s="4">
        <v>43.75</v>
      </c>
    </row>
    <row r="19" spans="2:7" ht="41.4" x14ac:dyDescent="0.25">
      <c r="B19" s="15" t="s">
        <v>124</v>
      </c>
      <c r="C19" s="2">
        <f>+SUM(C13:C18)</f>
        <v>-38269</v>
      </c>
      <c r="D19" s="2">
        <f>+SUM(D13:D18)</f>
        <v>-36822.709999999992</v>
      </c>
      <c r="E19" s="2">
        <f>+SUM(E13:E18)</f>
        <v>-21751.33</v>
      </c>
      <c r="F19" s="2">
        <f>+SUM(F13:F18)</f>
        <v>-20148.48</v>
      </c>
      <c r="G19" s="2">
        <f>+SUM(G13:G18)</f>
        <v>-1622.56</v>
      </c>
    </row>
    <row r="20" spans="2:7" x14ac:dyDescent="0.25">
      <c r="B20" s="4"/>
      <c r="C20" s="4"/>
      <c r="D20" s="4"/>
      <c r="E20" s="4"/>
      <c r="F20" s="4"/>
      <c r="G20" s="4"/>
    </row>
    <row r="21" spans="2:7" ht="27.6" x14ac:dyDescent="0.25">
      <c r="B21" s="12" t="s">
        <v>125</v>
      </c>
      <c r="C21" s="4"/>
      <c r="D21" s="4"/>
      <c r="E21" s="4"/>
      <c r="F21" s="4"/>
      <c r="G21" s="4"/>
    </row>
    <row r="22" spans="2:7" x14ac:dyDescent="0.25">
      <c r="B22" s="4" t="s">
        <v>126</v>
      </c>
      <c r="C22" s="4">
        <f>-91579+92670</f>
        <v>1091</v>
      </c>
      <c r="D22" s="4">
        <f>63819.77-64052.28</f>
        <v>-232.51000000000204</v>
      </c>
      <c r="E22" s="4">
        <f>50780.63-53072.75</f>
        <v>-2292.1200000000026</v>
      </c>
      <c r="F22" s="4">
        <f>-2328.99-2332.1</f>
        <v>-4661.09</v>
      </c>
      <c r="G22" s="4">
        <f>-1401.92-1373.79</f>
        <v>-2775.71</v>
      </c>
    </row>
    <row r="23" spans="2:7" ht="41.4" x14ac:dyDescent="0.25">
      <c r="B23" s="11" t="s">
        <v>127</v>
      </c>
      <c r="C23" s="4">
        <f>-42-1220-10-446-2380+108</f>
        <v>-3990</v>
      </c>
      <c r="D23" s="4">
        <f>-54.51-1841.21-546.56-1190.83</f>
        <v>-3633.1099999999997</v>
      </c>
      <c r="E23" s="4">
        <f>-65.27-1028.8-714.5</f>
        <v>-1808.57</v>
      </c>
      <c r="F23" s="4">
        <f>-34.89-1374.45-567.42+13552-378.13</f>
        <v>11197.11</v>
      </c>
      <c r="G23" s="4">
        <f>-39.95-1218.35</f>
        <v>-1258.3</v>
      </c>
    </row>
    <row r="24" spans="2:7" ht="41.4" x14ac:dyDescent="0.25">
      <c r="B24" s="15" t="s">
        <v>133</v>
      </c>
      <c r="C24" s="2">
        <f>+C22+C23</f>
        <v>-2899</v>
      </c>
      <c r="D24" s="2">
        <f>+D22+D23</f>
        <v>-3865.6200000000017</v>
      </c>
      <c r="E24" s="2">
        <f>+E22+E23</f>
        <v>-4100.6900000000023</v>
      </c>
      <c r="F24" s="2">
        <f>+F22+F23</f>
        <v>6536.02</v>
      </c>
      <c r="G24" s="2">
        <f>+G22+G23</f>
        <v>-4034.01</v>
      </c>
    </row>
    <row r="25" spans="2:7" ht="55.2" x14ac:dyDescent="0.25">
      <c r="B25" s="12" t="s">
        <v>135</v>
      </c>
      <c r="C25" s="4">
        <v>33</v>
      </c>
      <c r="D25" s="4">
        <v>18.809999999999999</v>
      </c>
      <c r="E25" s="4">
        <v>0</v>
      </c>
      <c r="F25" s="4">
        <v>0</v>
      </c>
      <c r="G25" s="4">
        <v>0</v>
      </c>
    </row>
    <row r="26" spans="2:7" x14ac:dyDescent="0.25">
      <c r="B26" s="4"/>
      <c r="C26" s="4"/>
      <c r="D26" s="4"/>
      <c r="E26" s="4"/>
      <c r="F26" s="4"/>
      <c r="G26" s="4"/>
    </row>
    <row r="27" spans="2:7" ht="41.4" x14ac:dyDescent="0.25">
      <c r="B27" s="15" t="s">
        <v>134</v>
      </c>
      <c r="C27" s="2">
        <f>+C24+C25+C19+C10</f>
        <v>63</v>
      </c>
      <c r="D27" s="2">
        <f>+D24+D25+D19+D10</f>
        <v>2672.5</v>
      </c>
      <c r="E27" s="2">
        <f>+E24+E25+E19+E10</f>
        <v>1575.7599999999948</v>
      </c>
      <c r="F27" s="2">
        <f>+F24+F25+F19+F10</f>
        <v>-2716.3099999999995</v>
      </c>
      <c r="G27" s="2">
        <f>+G24+G25+G19+G10</f>
        <v>2949.7000000000007</v>
      </c>
    </row>
    <row r="28" spans="2:7" x14ac:dyDescent="0.25">
      <c r="B28" s="4"/>
      <c r="C28" s="4"/>
      <c r="D28" s="4"/>
      <c r="E28" s="4"/>
      <c r="F28" s="4"/>
      <c r="G28" s="4"/>
    </row>
    <row r="29" spans="2:7" x14ac:dyDescent="0.25">
      <c r="B29" s="4" t="s">
        <v>128</v>
      </c>
      <c r="C29" s="4">
        <f>+D31</f>
        <v>4820.649999999996</v>
      </c>
      <c r="D29" s="4">
        <f>+E31</f>
        <v>2148.149999999996</v>
      </c>
      <c r="E29" s="4">
        <f>+F31</f>
        <v>572.39000000000124</v>
      </c>
      <c r="F29" s="4">
        <f>+G31</f>
        <v>3288.7000000000007</v>
      </c>
      <c r="G29" s="4">
        <v>339</v>
      </c>
    </row>
    <row r="30" spans="2:7" x14ac:dyDescent="0.25">
      <c r="B30" s="4"/>
      <c r="C30" s="4"/>
      <c r="D30" s="4"/>
      <c r="E30" s="4"/>
      <c r="F30" s="4"/>
      <c r="G30" s="4"/>
    </row>
    <row r="31" spans="2:7" x14ac:dyDescent="0.25">
      <c r="B31" s="2" t="s">
        <v>129</v>
      </c>
      <c r="C31" s="16">
        <f>+C27+C29</f>
        <v>4883.649999999996</v>
      </c>
      <c r="D31" s="16">
        <f>+D27+D29</f>
        <v>4820.649999999996</v>
      </c>
      <c r="E31" s="16">
        <f>+E27+E29</f>
        <v>2148.149999999996</v>
      </c>
      <c r="F31" s="16">
        <f>+F27+F29</f>
        <v>572.39000000000124</v>
      </c>
      <c r="G31" s="16">
        <f>+G27+G29</f>
        <v>3288.7000000000007</v>
      </c>
    </row>
    <row r="32" spans="2:7" x14ac:dyDescent="0.25">
      <c r="B32" s="4"/>
      <c r="C32" s="4"/>
      <c r="D32" s="4"/>
      <c r="E32" s="4"/>
      <c r="F32" s="4"/>
      <c r="G32" s="4"/>
    </row>
    <row r="33" spans="2:10" x14ac:dyDescent="0.25">
      <c r="B33" s="2" t="s">
        <v>130</v>
      </c>
      <c r="C33" s="2">
        <f>+C10+C13</f>
        <v>19098</v>
      </c>
      <c r="D33" s="2">
        <f t="shared" ref="D33:G33" si="0">+D10+D13</f>
        <v>25837.059999999998</v>
      </c>
      <c r="E33" s="2">
        <f t="shared" si="0"/>
        <v>20039.379999999997</v>
      </c>
      <c r="F33" s="2">
        <f t="shared" si="0"/>
        <v>6924.119999999999</v>
      </c>
      <c r="G33" s="2">
        <f t="shared" si="0"/>
        <v>4223.0600000000004</v>
      </c>
    </row>
    <row r="34" spans="2:10" ht="27.6" x14ac:dyDescent="0.25">
      <c r="B34" s="11" t="s">
        <v>170</v>
      </c>
      <c r="C34" s="7">
        <f>+C33/'Income Statement'!C26</f>
        <v>0.46666992473853974</v>
      </c>
      <c r="D34" s="7">
        <f>+D33/'Income Statement'!D26</f>
        <v>0.78723522242535038</v>
      </c>
      <c r="E34" s="7">
        <f>+E33/'Income Statement'!E26</f>
        <v>1.1584795930165335</v>
      </c>
      <c r="F34" s="7">
        <f>+F33/'Income Statement'!F26</f>
        <v>0.65945256100116301</v>
      </c>
      <c r="G34" s="7">
        <f>+G33/'Income Statement'!G26</f>
        <v>0.52925658240206142</v>
      </c>
    </row>
    <row r="35" spans="2:10" x14ac:dyDescent="0.25">
      <c r="B35" s="16" t="s">
        <v>131</v>
      </c>
      <c r="C35" s="17">
        <f>+(C33-D33)/D33</f>
        <v>-0.26082921199238607</v>
      </c>
      <c r="D35" s="17">
        <f>+(D33-E33)/E33</f>
        <v>0.2893143400644132</v>
      </c>
      <c r="E35" s="17">
        <f>+(E33-F33)/F33</f>
        <v>1.8941410605246587</v>
      </c>
      <c r="F35" s="17">
        <f>+(F33-G33)/G33</f>
        <v>0.63959782716797731</v>
      </c>
      <c r="G35" s="17">
        <v>0</v>
      </c>
    </row>
    <row r="36" spans="2:10" x14ac:dyDescent="0.25">
      <c r="B36" s="16" t="s">
        <v>132</v>
      </c>
      <c r="C36" s="10">
        <f>+AVERAGE(C35:F35)</f>
        <v>0.64055600394116574</v>
      </c>
      <c r="D36" s="17"/>
      <c r="E36" s="17"/>
      <c r="F36" s="17"/>
      <c r="G36" s="17"/>
    </row>
    <row r="37" spans="2:10" x14ac:dyDescent="0.25">
      <c r="B37" s="16"/>
      <c r="C37" s="17">
        <f>+(C33-G33)/G33</f>
        <v>3.522313204169488</v>
      </c>
      <c r="D37" s="16"/>
      <c r="E37" s="16"/>
      <c r="F37" s="16"/>
      <c r="G37" s="16"/>
    </row>
    <row r="38" spans="2:10" x14ac:dyDescent="0.25">
      <c r="H38" s="31"/>
      <c r="J38" s="31"/>
    </row>
    <row r="40" spans="2:10" x14ac:dyDescent="0.25">
      <c r="E40" s="31"/>
      <c r="H40" s="31"/>
    </row>
  </sheetData>
  <pageMargins left="0.7" right="0.7" top="0.75" bottom="0.75" header="0.3" footer="0.3"/>
  <ignoredErrors>
    <ignoredError sqref="C7:G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BFD57-57D1-4C7D-BDEC-A209860273B1}">
  <dimension ref="C2:G25"/>
  <sheetViews>
    <sheetView workbookViewId="0">
      <selection activeCell="H11" sqref="H11"/>
    </sheetView>
  </sheetViews>
  <sheetFormatPr defaultRowHeight="13.8" x14ac:dyDescent="0.25"/>
  <cols>
    <col min="1" max="2" width="8.88671875" style="18"/>
    <col min="3" max="3" width="11.33203125" style="18" bestFit="1" customWidth="1"/>
    <col min="4" max="4" width="10.44140625" style="18" bestFit="1" customWidth="1"/>
    <col min="5" max="5" width="18.6640625" style="18" bestFit="1" customWidth="1"/>
    <col min="6" max="6" width="13.33203125" style="18" bestFit="1" customWidth="1"/>
    <col min="7" max="7" width="20.44140625" style="18" bestFit="1" customWidth="1"/>
    <col min="8" max="8" width="13.88671875" style="18" bestFit="1" customWidth="1"/>
    <col min="9" max="16384" width="8.88671875" style="18"/>
  </cols>
  <sheetData>
    <row r="2" spans="3:7" x14ac:dyDescent="0.25">
      <c r="C2" s="20" t="s">
        <v>150</v>
      </c>
    </row>
    <row r="3" spans="3:7" x14ac:dyDescent="0.25">
      <c r="C3" s="25" t="s">
        <v>141</v>
      </c>
      <c r="D3" s="26">
        <f>+CashFlow!C36-40%</f>
        <v>0.24055600394116572</v>
      </c>
      <c r="E3" s="54" t="s">
        <v>143</v>
      </c>
      <c r="F3" s="25" t="s">
        <v>139</v>
      </c>
      <c r="G3" s="26">
        <v>0.1</v>
      </c>
    </row>
    <row r="4" spans="3:7" ht="27.6" x14ac:dyDescent="0.25">
      <c r="C4" s="25"/>
      <c r="D4" s="26">
        <v>0.15</v>
      </c>
      <c r="E4" s="21" t="s">
        <v>169</v>
      </c>
      <c r="F4" s="25" t="s">
        <v>144</v>
      </c>
      <c r="G4" s="26">
        <v>0.03</v>
      </c>
    </row>
    <row r="6" spans="3:7" x14ac:dyDescent="0.25">
      <c r="C6" s="22" t="s">
        <v>136</v>
      </c>
      <c r="D6" s="22" t="s">
        <v>137</v>
      </c>
      <c r="E6" s="2" t="s">
        <v>138</v>
      </c>
      <c r="F6" s="22" t="s">
        <v>139</v>
      </c>
      <c r="G6" s="22" t="s">
        <v>140</v>
      </c>
    </row>
    <row r="7" spans="3:7" x14ac:dyDescent="0.25">
      <c r="C7" s="25">
        <v>1</v>
      </c>
      <c r="D7" s="16">
        <f>+CashFlow!C33</f>
        <v>19098</v>
      </c>
      <c r="E7" s="16">
        <f>+D7*$D$3</f>
        <v>4594.1385632683832</v>
      </c>
      <c r="F7" s="16">
        <f>(1+0.1)^C7</f>
        <v>1.1000000000000001</v>
      </c>
      <c r="G7" s="27">
        <f>+(D7+E7)/F7</f>
        <v>21538.307784789435</v>
      </c>
    </row>
    <row r="8" spans="3:7" x14ac:dyDescent="0.25">
      <c r="C8" s="25">
        <f>+C7+1</f>
        <v>2</v>
      </c>
      <c r="D8" s="16">
        <f>+D7+E7</f>
        <v>23692.138563268381</v>
      </c>
      <c r="E8" s="16">
        <f>+D8*$D$3</f>
        <v>5699.2861776002328</v>
      </c>
      <c r="F8" s="16">
        <f t="shared" ref="F8:F16" si="0">(1+0.1)^C8</f>
        <v>1.2100000000000002</v>
      </c>
      <c r="G8" s="27">
        <f t="shared" ref="G8:G16" si="1">+(D8+E8)/F8</f>
        <v>24290.433670139348</v>
      </c>
    </row>
    <row r="9" spans="3:7" x14ac:dyDescent="0.25">
      <c r="C9" s="25">
        <f>+C8+1</f>
        <v>3</v>
      </c>
      <c r="D9" s="16">
        <f>+D8+E8</f>
        <v>29391.424740868613</v>
      </c>
      <c r="E9" s="16">
        <f>+D9*$D$3</f>
        <v>7070.2836858008659</v>
      </c>
      <c r="F9" s="16">
        <f t="shared" si="0"/>
        <v>1.3310000000000004</v>
      </c>
      <c r="G9" s="27">
        <f t="shared" si="1"/>
        <v>27394.221207114551</v>
      </c>
    </row>
    <row r="10" spans="3:7" x14ac:dyDescent="0.25">
      <c r="C10" s="25">
        <f>+C9+1</f>
        <v>4</v>
      </c>
      <c r="D10" s="16">
        <f>+D9+E9</f>
        <v>36461.70842666948</v>
      </c>
      <c r="E10" s="16">
        <f>+D10*$D$3</f>
        <v>8771.0828759875385</v>
      </c>
      <c r="F10" s="16">
        <f t="shared" si="0"/>
        <v>1.4641000000000004</v>
      </c>
      <c r="G10" s="27">
        <f t="shared" si="1"/>
        <v>30894.605083434879</v>
      </c>
    </row>
    <row r="11" spans="3:7" x14ac:dyDescent="0.25">
      <c r="C11" s="25">
        <f>+C10+1</f>
        <v>5</v>
      </c>
      <c r="D11" s="16">
        <f>+D10+E10</f>
        <v>45232.791302657017</v>
      </c>
      <c r="E11" s="16">
        <f>+D11*$D$4</f>
        <v>6784.9186953985527</v>
      </c>
      <c r="F11" s="16">
        <f t="shared" si="0"/>
        <v>1.6105100000000006</v>
      </c>
      <c r="G11" s="27">
        <f t="shared" si="1"/>
        <v>32298.905314500098</v>
      </c>
    </row>
    <row r="12" spans="3:7" x14ac:dyDescent="0.25">
      <c r="C12" s="25">
        <f>+C11+1</f>
        <v>6</v>
      </c>
      <c r="D12" s="16">
        <f>+D11+E11</f>
        <v>52017.709998055572</v>
      </c>
      <c r="E12" s="16">
        <f>+D12*$D$4</f>
        <v>7802.6564997083351</v>
      </c>
      <c r="F12" s="16">
        <f t="shared" si="0"/>
        <v>1.7715610000000008</v>
      </c>
      <c r="G12" s="27">
        <f t="shared" si="1"/>
        <v>33767.037374250096</v>
      </c>
    </row>
    <row r="13" spans="3:7" x14ac:dyDescent="0.25">
      <c r="C13" s="25">
        <f>+C12+1</f>
        <v>7</v>
      </c>
      <c r="D13" s="16">
        <f>+D12+E12</f>
        <v>59820.366497763905</v>
      </c>
      <c r="E13" s="16">
        <f>+D13*$D$4-5%</f>
        <v>8973.0049746645855</v>
      </c>
      <c r="F13" s="16">
        <f t="shared" si="0"/>
        <v>1.9487171000000012</v>
      </c>
      <c r="G13" s="27">
        <f t="shared" si="1"/>
        <v>35301.877051537369</v>
      </c>
    </row>
    <row r="14" spans="3:7" x14ac:dyDescent="0.25">
      <c r="C14" s="25">
        <f>+C13+1</f>
        <v>8</v>
      </c>
      <c r="D14" s="16">
        <f>+D13+E13</f>
        <v>68793.371472428495</v>
      </c>
      <c r="E14" s="16">
        <f>+D14*$D$4-5%</f>
        <v>10318.955720864275</v>
      </c>
      <c r="F14" s="16">
        <f t="shared" si="0"/>
        <v>2.1435888100000011</v>
      </c>
      <c r="G14" s="27">
        <f t="shared" si="1"/>
        <v>36906.484501238243</v>
      </c>
    </row>
    <row r="15" spans="3:7" x14ac:dyDescent="0.25">
      <c r="C15" s="25">
        <f>+C14+1</f>
        <v>9</v>
      </c>
      <c r="D15" s="16">
        <f>+D14+E14</f>
        <v>79112.327193292775</v>
      </c>
      <c r="E15" s="16">
        <f>+D15*$D$4-5%</f>
        <v>11866.799078993916</v>
      </c>
      <c r="F15" s="16">
        <f t="shared" si="0"/>
        <v>2.3579476910000015</v>
      </c>
      <c r="G15" s="27">
        <f t="shared" si="1"/>
        <v>38584.03077368634</v>
      </c>
    </row>
    <row r="16" spans="3:7" x14ac:dyDescent="0.25">
      <c r="C16" s="25">
        <f>+C15+1</f>
        <v>10</v>
      </c>
      <c r="D16" s="16">
        <f>+D15+E15</f>
        <v>90979.126272286696</v>
      </c>
      <c r="E16" s="16">
        <f>+D16*$D$4-5%</f>
        <v>13646.818940843004</v>
      </c>
      <c r="F16" s="16">
        <f t="shared" si="0"/>
        <v>2.5937424601000019</v>
      </c>
      <c r="G16" s="27">
        <f t="shared" si="1"/>
        <v>40337.831077143965</v>
      </c>
    </row>
    <row r="18" spans="5:6" ht="27.6" x14ac:dyDescent="0.25">
      <c r="E18" s="24" t="s">
        <v>145</v>
      </c>
      <c r="F18" s="2">
        <f>+D16*1.15</f>
        <v>104625.99521312969</v>
      </c>
    </row>
    <row r="19" spans="5:6" x14ac:dyDescent="0.25">
      <c r="E19" s="22" t="s">
        <v>146</v>
      </c>
      <c r="F19" s="2">
        <f>+F18*(1+G4)/(G3-G4)</f>
        <v>1539496.7867074797</v>
      </c>
    </row>
    <row r="20" spans="5:6" x14ac:dyDescent="0.25">
      <c r="E20" s="22" t="s">
        <v>147</v>
      </c>
      <c r="F20" s="23">
        <f>+SUM(G7:G16)</f>
        <v>321313.73383783433</v>
      </c>
    </row>
    <row r="21" spans="5:6" x14ac:dyDescent="0.25">
      <c r="E21" s="22" t="s">
        <v>148</v>
      </c>
      <c r="F21" s="23">
        <f>+F19+F20</f>
        <v>1860810.5205453141</v>
      </c>
    </row>
    <row r="22" spans="5:6" x14ac:dyDescent="0.25">
      <c r="E22" s="22" t="s">
        <v>2</v>
      </c>
      <c r="F22" s="23">
        <f>+'Income Statement'!C28</f>
        <v>1190.6895548443408</v>
      </c>
    </row>
    <row r="23" spans="5:6" x14ac:dyDescent="0.25">
      <c r="E23" s="22" t="s">
        <v>149</v>
      </c>
      <c r="F23" s="23">
        <f>+F21/F22</f>
        <v>1562.8007426239481</v>
      </c>
    </row>
    <row r="24" spans="5:6" x14ac:dyDescent="0.25">
      <c r="E24" s="22" t="s">
        <v>151</v>
      </c>
      <c r="F24" s="23">
        <f>+Main!D5</f>
        <v>1262</v>
      </c>
    </row>
    <row r="25" spans="5:6" x14ac:dyDescent="0.25">
      <c r="E25" s="22" t="s">
        <v>152</v>
      </c>
      <c r="F25" s="30">
        <f>+(F23-F24)/F23</f>
        <v>0.19247542851745933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B8830-F629-4031-92B1-0BFF2762ED9D}">
  <dimension ref="B2:H24"/>
  <sheetViews>
    <sheetView tabSelected="1" workbookViewId="0">
      <selection activeCell="I23" sqref="I23"/>
    </sheetView>
  </sheetViews>
  <sheetFormatPr defaultRowHeight="13.8" x14ac:dyDescent="0.25"/>
  <cols>
    <col min="1" max="1" width="8.88671875" style="18"/>
    <col min="2" max="2" width="25.44140625" style="18" bestFit="1" customWidth="1"/>
    <col min="3" max="4" width="11.44140625" style="18" bestFit="1" customWidth="1"/>
    <col min="5" max="7" width="10.44140625" style="18" bestFit="1" customWidth="1"/>
    <col min="8" max="16384" width="8.88671875" style="18"/>
  </cols>
  <sheetData>
    <row r="2" spans="2:8" x14ac:dyDescent="0.25">
      <c r="B2" s="22" t="s">
        <v>153</v>
      </c>
      <c r="C2" s="23" t="str">
        <f>+'Income Statement'!C3</f>
        <v>2024-25</v>
      </c>
      <c r="D2" s="23" t="str">
        <f>+'Income Statement'!D3</f>
        <v>2023-24</v>
      </c>
      <c r="E2" s="23" t="str">
        <f>+'Income Statement'!E3</f>
        <v>2022-23</v>
      </c>
      <c r="F2" s="23" t="str">
        <f>+'Income Statement'!F3</f>
        <v>2021-22</v>
      </c>
      <c r="G2" s="23" t="str">
        <f>+'Income Statement'!G3</f>
        <v>2020-21</v>
      </c>
      <c r="H2" s="19"/>
    </row>
    <row r="3" spans="2:8" x14ac:dyDescent="0.25">
      <c r="B3" s="25" t="s">
        <v>154</v>
      </c>
      <c r="C3" s="27">
        <f>+'Income Statement'!C7-'Income Statement'!C10-'Income Statement'!C12-'Income Statement'!C13-'Income Statement'!C15-'Income Statement'!C16-'Income Statement'!C17</f>
        <v>57777</v>
      </c>
      <c r="D3" s="27">
        <f>+'Income Statement'!D7-'Income Statement'!D10-'Income Statement'!D12-'Income Statement'!D13-'Income Statement'!D15-'Income Statement'!D16-'Income Statement'!D17</f>
        <v>45711</v>
      </c>
      <c r="E3" s="27">
        <f>+'Income Statement'!E7-'Income Statement'!E10-'Income Statement'!E12-'Income Statement'!E13-'Income Statement'!E15-'Income Statement'!E16-'Income Statement'!E17</f>
        <v>24403</v>
      </c>
      <c r="F3" s="27">
        <f>+'Income Statement'!F7-'Income Statement'!F10-'Income Statement'!F12-'Income Statement'!F13-'Income Statement'!F15-'Income Statement'!F16-'Income Statement'!F17</f>
        <v>15355.799999999979</v>
      </c>
      <c r="G3" s="27">
        <f>+'Income Statement'!G7-'Income Statement'!G10-'Income Statement'!G12-'Income Statement'!G13-'Income Statement'!G15-'Income Statement'!G16-'Income Statement'!G17</f>
        <v>12640.489999999998</v>
      </c>
    </row>
    <row r="4" spans="2:8" x14ac:dyDescent="0.25">
      <c r="B4" s="25" t="s">
        <v>155</v>
      </c>
      <c r="C4" s="27">
        <f>+'Balance Sheet'!C39+'Balance Sheet'!C44+'Balance Sheet'!C45+'Balance Sheet'!C52+'Balance Sheet'!C53</f>
        <v>163288</v>
      </c>
      <c r="D4" s="27">
        <f>+'Balance Sheet'!D39+'Balance Sheet'!D44+'Balance Sheet'!D45+'Balance Sheet'!D52+'Balance Sheet'!D53</f>
        <v>123596.4</v>
      </c>
      <c r="E4" s="27">
        <f>+'Balance Sheet'!E39+'Balance Sheet'!E44+'Balance Sheet'!E45+'Balance Sheet'!E52+'Balance Sheet'!E53</f>
        <v>92763.05</v>
      </c>
      <c r="F4" s="27">
        <f>+'Balance Sheet'!F39+'Balance Sheet'!F44+'Balance Sheet'!F45+'Balance Sheet'!F52+'Balance Sheet'!F53</f>
        <v>76373.84</v>
      </c>
      <c r="G4" s="27">
        <f>+'Balance Sheet'!G39+'Balance Sheet'!G44+'Balance Sheet'!G45+'Balance Sheet'!G52+'Balance Sheet'!G53</f>
        <v>57811.360000000008</v>
      </c>
    </row>
    <row r="5" spans="2:8" x14ac:dyDescent="0.25">
      <c r="B5" s="22" t="s">
        <v>156</v>
      </c>
      <c r="C5" s="30">
        <f>+C3/C4</f>
        <v>0.35383494194306991</v>
      </c>
      <c r="D5" s="30">
        <f t="shared" ref="D5:G5" si="0">+D3/D4</f>
        <v>0.3698408691515287</v>
      </c>
      <c r="E5" s="30">
        <f t="shared" si="0"/>
        <v>0.26306810739836606</v>
      </c>
      <c r="F5" s="30">
        <f t="shared" si="0"/>
        <v>0.20106099156465068</v>
      </c>
      <c r="G5" s="30">
        <f t="shared" si="0"/>
        <v>0.21865062506746072</v>
      </c>
    </row>
    <row r="6" spans="2:8" x14ac:dyDescent="0.25">
      <c r="B6" s="22" t="s">
        <v>57</v>
      </c>
      <c r="C6" s="30">
        <f>+AVERAGE(C5:G5)</f>
        <v>0.2812911070250152</v>
      </c>
    </row>
    <row r="8" spans="2:8" x14ac:dyDescent="0.25">
      <c r="B8" s="25" t="s">
        <v>157</v>
      </c>
      <c r="C8" s="23" t="str">
        <f>+C2</f>
        <v>2024-25</v>
      </c>
      <c r="D8" s="23" t="str">
        <f>+D2</f>
        <v>2023-24</v>
      </c>
      <c r="E8" s="23" t="str">
        <f>+E2</f>
        <v>2022-23</v>
      </c>
      <c r="F8" s="23" t="str">
        <f>+F2</f>
        <v>2021-22</v>
      </c>
      <c r="G8" s="23" t="str">
        <f>+G2</f>
        <v>2020-21</v>
      </c>
    </row>
    <row r="9" spans="2:8" x14ac:dyDescent="0.25">
      <c r="B9" s="25" t="s">
        <v>158</v>
      </c>
      <c r="C9" s="27">
        <f>+'Income Statement'!C26</f>
        <v>40924</v>
      </c>
      <c r="D9" s="27">
        <f>+'Income Statement'!D26</f>
        <v>32820</v>
      </c>
      <c r="E9" s="27">
        <f>+'Income Statement'!E26</f>
        <v>17298</v>
      </c>
      <c r="F9" s="27">
        <f>+'Income Statement'!F26</f>
        <v>10499.799999999981</v>
      </c>
      <c r="G9" s="27">
        <f>+'Income Statement'!G26</f>
        <v>7979.23</v>
      </c>
    </row>
    <row r="10" spans="2:8" x14ac:dyDescent="0.25">
      <c r="B10" s="25" t="s">
        <v>159</v>
      </c>
      <c r="C10" s="27">
        <f>+'Balance Sheet'!C39</f>
        <v>161644</v>
      </c>
      <c r="D10" s="27">
        <f>+'Balance Sheet'!D39</f>
        <v>123150.15000000001</v>
      </c>
      <c r="E10" s="27">
        <f>+'Balance Sheet'!E39</f>
        <v>92018.23</v>
      </c>
      <c r="F10" s="27">
        <f>+'Balance Sheet'!F39</f>
        <v>75435.61</v>
      </c>
      <c r="G10" s="27">
        <f>+'Balance Sheet'!G39</f>
        <v>52353.66</v>
      </c>
    </row>
    <row r="11" spans="2:8" x14ac:dyDescent="0.25">
      <c r="B11" s="22" t="s">
        <v>164</v>
      </c>
      <c r="C11" s="30">
        <f>+C9/C10</f>
        <v>0.25317364084036525</v>
      </c>
      <c r="D11" s="30">
        <f t="shared" ref="D11:G11" si="1">+D9/D10</f>
        <v>0.2665039384848496</v>
      </c>
      <c r="E11" s="30">
        <f t="shared" si="1"/>
        <v>0.18798448959515957</v>
      </c>
      <c r="F11" s="30">
        <f t="shared" si="1"/>
        <v>0.13918890561102351</v>
      </c>
      <c r="G11" s="30">
        <f t="shared" si="1"/>
        <v>0.15241016578401584</v>
      </c>
    </row>
    <row r="12" spans="2:8" x14ac:dyDescent="0.25">
      <c r="B12" s="22" t="s">
        <v>57</v>
      </c>
      <c r="C12" s="30">
        <f>+AVERAGE(C11:G11)</f>
        <v>0.19985222806308273</v>
      </c>
      <c r="D12" s="29"/>
      <c r="E12" s="29"/>
      <c r="F12" s="29"/>
      <c r="G12" s="29"/>
    </row>
    <row r="14" spans="2:8" x14ac:dyDescent="0.25">
      <c r="B14" s="22" t="s">
        <v>163</v>
      </c>
      <c r="C14" s="23" t="str">
        <f>+C8</f>
        <v>2024-25</v>
      </c>
      <c r="D14" s="23" t="str">
        <f t="shared" ref="D14:G14" si="2">+D8</f>
        <v>2023-24</v>
      </c>
      <c r="E14" s="23" t="str">
        <f t="shared" si="2"/>
        <v>2022-23</v>
      </c>
      <c r="F14" s="23" t="str">
        <f t="shared" si="2"/>
        <v>2021-22</v>
      </c>
      <c r="G14" s="23" t="str">
        <f t="shared" si="2"/>
        <v>2020-21</v>
      </c>
    </row>
    <row r="15" spans="2:8" x14ac:dyDescent="0.25">
      <c r="B15" s="25" t="s">
        <v>160</v>
      </c>
      <c r="C15" s="29">
        <f>+('Income Statement'!C23+'Income Statement'!C24)/'Income Statement'!C20</f>
        <v>0.25473484848484851</v>
      </c>
      <c r="D15" s="29">
        <f>+('Income Statement'!D23+'Income Statement'!D24)/'Income Statement'!D20</f>
        <v>0.24367424067843479</v>
      </c>
      <c r="E15" s="29">
        <f>+('Income Statement'!E23+'Income Statement'!E24)/'Income Statement'!E20</f>
        <v>0.259946949602122</v>
      </c>
      <c r="F15" s="29">
        <f>+('Income Statement'!F23+'Income Statement'!F24)/'Income Statement'!F20</f>
        <v>0.23525080245569316</v>
      </c>
      <c r="G15" s="29">
        <f>+('Income Statement'!G23+'Income Statement'!G24)/'Income Statement'!G20</f>
        <v>0.26194369881437113</v>
      </c>
    </row>
    <row r="16" spans="2:8" x14ac:dyDescent="0.25">
      <c r="B16" s="25" t="s">
        <v>161</v>
      </c>
      <c r="C16" s="16">
        <f>+'Income Statement'!C26*(1-ratios!C15)</f>
        <v>30499.23106060606</v>
      </c>
      <c r="D16" s="16">
        <f>+'Income Statement'!D26*(1-ratios!D15)</f>
        <v>24822.611420933768</v>
      </c>
      <c r="E16" s="16">
        <f>+'Income Statement'!E26*(1-ratios!E15)</f>
        <v>12801.437665782492</v>
      </c>
      <c r="F16" s="16">
        <f>+'Income Statement'!F26*(1-ratios!F15)</f>
        <v>8029.7136243756986</v>
      </c>
      <c r="G16" s="16">
        <f>+'Income Statement'!G26*(1-ratios!G15)</f>
        <v>5889.1209801094055</v>
      </c>
    </row>
    <row r="17" spans="2:7" x14ac:dyDescent="0.25">
      <c r="B17" s="25" t="s">
        <v>162</v>
      </c>
      <c r="C17" s="27">
        <f>+'Balance Sheet'!C39+'Balance Sheet'!C45+'Balance Sheet'!C52+'Balance Sheet'!C53</f>
        <v>163288</v>
      </c>
      <c r="D17" s="27">
        <f>+'Balance Sheet'!D39+'Balance Sheet'!D45+'Balance Sheet'!D52+'Balance Sheet'!D53</f>
        <v>123596.4</v>
      </c>
      <c r="E17" s="27">
        <f>+'Balance Sheet'!E39+'Balance Sheet'!E45+'Balance Sheet'!E52+'Balance Sheet'!E53</f>
        <v>92763.05</v>
      </c>
      <c r="F17" s="27">
        <f>+'Balance Sheet'!F39+'Balance Sheet'!F45+'Balance Sheet'!F52+'Balance Sheet'!F53</f>
        <v>76373.84</v>
      </c>
      <c r="G17" s="27">
        <f>+'Balance Sheet'!G39+'Balance Sheet'!G45+'Balance Sheet'!G52+'Balance Sheet'!G53</f>
        <v>55797.96</v>
      </c>
    </row>
    <row r="18" spans="2:7" x14ac:dyDescent="0.25">
      <c r="B18" s="22" t="s">
        <v>165</v>
      </c>
      <c r="C18" s="29">
        <f>+C16/C17</f>
        <v>0.18678182757217959</v>
      </c>
      <c r="D18" s="29">
        <f t="shared" ref="D18:G18" si="3">+D16/D17</f>
        <v>0.20083603908312678</v>
      </c>
      <c r="E18" s="29">
        <f t="shared" si="3"/>
        <v>0.13800147435624951</v>
      </c>
      <c r="F18" s="29">
        <f t="shared" si="3"/>
        <v>0.10513696344685168</v>
      </c>
      <c r="G18" s="29">
        <f t="shared" si="3"/>
        <v>0.10554366109638069</v>
      </c>
    </row>
    <row r="19" spans="2:7" x14ac:dyDescent="0.25">
      <c r="B19" s="22" t="s">
        <v>57</v>
      </c>
      <c r="C19" s="30">
        <f>+AVERAGE(C18:G18)</f>
        <v>0.14725999311095767</v>
      </c>
      <c r="D19" s="28"/>
      <c r="E19" s="28"/>
      <c r="F19" s="28"/>
      <c r="G19" s="28"/>
    </row>
    <row r="21" spans="2:7" x14ac:dyDescent="0.25">
      <c r="B21" s="22" t="s">
        <v>166</v>
      </c>
      <c r="C21" s="23">
        <f>(+Main!$D$5*Main!$E$6)/'Income Statement'!C26</f>
        <v>36.696803831492524</v>
      </c>
      <c r="D21" s="19"/>
      <c r="E21" s="19"/>
      <c r="F21" s="19"/>
      <c r="G21" s="19"/>
    </row>
    <row r="22" spans="2:7" x14ac:dyDescent="0.25">
      <c r="B22" s="22" t="s">
        <v>167</v>
      </c>
      <c r="C22" s="2">
        <f>+C21/36.7</f>
        <v>0.99991291093985069</v>
      </c>
    </row>
    <row r="24" spans="2:7" x14ac:dyDescent="0.25">
      <c r="B24" s="32" t="s">
        <v>168</v>
      </c>
      <c r="C24" s="33"/>
      <c r="D24" s="33"/>
      <c r="E24" s="33"/>
      <c r="F24" s="33"/>
      <c r="G24" s="34"/>
    </row>
  </sheetData>
  <mergeCells count="1">
    <mergeCell ref="B24:G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Main</vt:lpstr>
      <vt:lpstr>Income Statement</vt:lpstr>
      <vt:lpstr>Balance Sheet</vt:lpstr>
      <vt:lpstr>CashFlow</vt:lpstr>
      <vt:lpstr>Discounted Cash Flows</vt:lpstr>
      <vt:lpstr>ratios</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Jay Sejpal</cp:lastModifiedBy>
  <dcterms:created xsi:type="dcterms:W3CDTF">2015-06-05T18:17:20Z</dcterms:created>
  <dcterms:modified xsi:type="dcterms:W3CDTF">2025-06-09T18:16:01Z</dcterms:modified>
</cp:coreProperties>
</file>