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investing\Analysis\Monte Carlo\"/>
    </mc:Choice>
  </mc:AlternateContent>
  <xr:revisionPtr revIDLastSave="0" documentId="13_ncr:1_{6F1770CF-ED08-4B0A-87E3-9226D6EDF9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Income Statement" sheetId="2" r:id="rId2"/>
    <sheet name="Balance sheet" sheetId="3" r:id="rId3"/>
    <sheet name="DCF" sheetId="4" r:id="rId4"/>
  </sheets>
  <definedNames>
    <definedName name="_xlnm.Print_Area" localSheetId="2">'Balance sheet'!$A$1:$H$90</definedName>
    <definedName name="_xlnm.Print_Area" localSheetId="1">'Income Statement'!$A$1:$P$34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E29" i="4"/>
  <c r="C18" i="4"/>
  <c r="I12" i="4"/>
  <c r="E35" i="4"/>
  <c r="E33" i="4"/>
  <c r="D18" i="4"/>
  <c r="B19" i="4"/>
  <c r="B20" i="4" s="1"/>
  <c r="E18" i="4"/>
  <c r="C19" i="4" l="1"/>
  <c r="B21" i="4"/>
  <c r="E20" i="4"/>
  <c r="F18" i="4"/>
  <c r="E19" i="4"/>
  <c r="D19" i="4" l="1"/>
  <c r="C20" i="4" s="1"/>
  <c r="D20" i="4" s="1"/>
  <c r="B22" i="4"/>
  <c r="E21" i="4"/>
  <c r="F19" i="4" l="1"/>
  <c r="C21" i="4"/>
  <c r="D21" i="4" s="1"/>
  <c r="B23" i="4"/>
  <c r="E22" i="4"/>
  <c r="F20" i="4"/>
  <c r="C22" i="4" l="1"/>
  <c r="D22" i="4" s="1"/>
  <c r="C23" i="4" s="1"/>
  <c r="D23" i="4" s="1"/>
  <c r="F21" i="4"/>
  <c r="B24" i="4"/>
  <c r="E23" i="4"/>
  <c r="C24" i="4" l="1"/>
  <c r="D24" i="4" s="1"/>
  <c r="F22" i="4"/>
  <c r="E24" i="4"/>
  <c r="B25" i="4"/>
  <c r="F24" i="4" l="1"/>
  <c r="B26" i="4"/>
  <c r="E25" i="4"/>
  <c r="F23" i="4"/>
  <c r="C25" i="4" l="1"/>
  <c r="D25" i="4" s="1"/>
  <c r="B27" i="4"/>
  <c r="E27" i="4" s="1"/>
  <c r="E26" i="4"/>
  <c r="C26" i="4" l="1"/>
  <c r="D26" i="4" s="1"/>
  <c r="F25" i="4"/>
  <c r="C27" i="4" l="1"/>
  <c r="D27" i="4" s="1"/>
  <c r="F26" i="4"/>
  <c r="F27" i="4" l="1"/>
  <c r="E31" i="4" s="1"/>
  <c r="E30" i="4"/>
  <c r="E32" i="4" l="1"/>
  <c r="E34" i="4" s="1"/>
  <c r="E36" i="4" s="1"/>
  <c r="D14" i="4" l="1"/>
  <c r="F14" i="4"/>
  <c r="E14" i="4"/>
  <c r="C14" i="4"/>
  <c r="C12" i="4"/>
  <c r="C7" i="4"/>
  <c r="C5" i="4"/>
  <c r="C6" i="4" s="1"/>
  <c r="G7" i="4"/>
  <c r="G5" i="4"/>
  <c r="G6" i="4" s="1"/>
  <c r="D6" i="4"/>
  <c r="F7" i="4"/>
  <c r="F5" i="4"/>
  <c r="F6" i="4" s="1"/>
  <c r="F8" i="4" s="1"/>
  <c r="F10" i="4" s="1"/>
  <c r="F12" i="4" s="1"/>
  <c r="E7" i="4"/>
  <c r="E5" i="4"/>
  <c r="D7" i="4"/>
  <c r="D5" i="4"/>
  <c r="G64" i="3"/>
  <c r="F64" i="3"/>
  <c r="E64" i="3"/>
  <c r="D64" i="3"/>
  <c r="C64" i="3"/>
  <c r="G66" i="3"/>
  <c r="F66" i="3"/>
  <c r="E66" i="3"/>
  <c r="D66" i="3"/>
  <c r="C66" i="3"/>
  <c r="G65" i="3"/>
  <c r="F65" i="3"/>
  <c r="E65" i="3"/>
  <c r="D65" i="3"/>
  <c r="C65" i="3"/>
  <c r="G60" i="3"/>
  <c r="F60" i="3"/>
  <c r="E60" i="3"/>
  <c r="D60" i="3"/>
  <c r="C60" i="3"/>
  <c r="C61" i="3"/>
  <c r="D61" i="3"/>
  <c r="E61" i="3"/>
  <c r="F61" i="3"/>
  <c r="G61" i="3"/>
  <c r="G62" i="3"/>
  <c r="F62" i="3"/>
  <c r="E62" i="3"/>
  <c r="D62" i="3"/>
  <c r="C62" i="3"/>
  <c r="C58" i="3"/>
  <c r="C56" i="3"/>
  <c r="C55" i="3"/>
  <c r="C50" i="3"/>
  <c r="C44" i="3"/>
  <c r="C34" i="3"/>
  <c r="C27" i="3"/>
  <c r="C28" i="3" s="1"/>
  <c r="C15" i="3"/>
  <c r="G50" i="3"/>
  <c r="F50" i="3"/>
  <c r="F55" i="3" s="1"/>
  <c r="G34" i="3"/>
  <c r="F34" i="3"/>
  <c r="G8" i="3"/>
  <c r="G15" i="3" s="1"/>
  <c r="F8" i="3"/>
  <c r="F15" i="3" s="1"/>
  <c r="E50" i="3"/>
  <c r="E55" i="3" s="1"/>
  <c r="G55" i="3"/>
  <c r="D50" i="3"/>
  <c r="D55" i="3" s="1"/>
  <c r="G44" i="3"/>
  <c r="F44" i="3"/>
  <c r="E44" i="3"/>
  <c r="D44" i="3"/>
  <c r="E34" i="3"/>
  <c r="D34" i="3"/>
  <c r="G27" i="3"/>
  <c r="F27" i="3"/>
  <c r="E27" i="3"/>
  <c r="D27" i="3"/>
  <c r="E15" i="3"/>
  <c r="D15" i="3"/>
  <c r="N18" i="2"/>
  <c r="M18" i="2"/>
  <c r="L18" i="2"/>
  <c r="K18" i="2"/>
  <c r="J18" i="2"/>
  <c r="O18" i="2" s="1"/>
  <c r="N19" i="2"/>
  <c r="M19" i="2"/>
  <c r="L19" i="2"/>
  <c r="K19" i="2"/>
  <c r="J19" i="2"/>
  <c r="O19" i="2" s="1"/>
  <c r="N16" i="2"/>
  <c r="M16" i="2"/>
  <c r="L16" i="2"/>
  <c r="K16" i="2"/>
  <c r="J16" i="2"/>
  <c r="O16" i="2" s="1"/>
  <c r="O17" i="2" s="1"/>
  <c r="N17" i="2"/>
  <c r="M17" i="2"/>
  <c r="L17" i="2"/>
  <c r="K17" i="2"/>
  <c r="J17" i="2"/>
  <c r="N8" i="2"/>
  <c r="M8" i="2"/>
  <c r="L8" i="2"/>
  <c r="K8" i="2"/>
  <c r="J8" i="2"/>
  <c r="M15" i="2"/>
  <c r="N14" i="2"/>
  <c r="M14" i="2"/>
  <c r="M13" i="2"/>
  <c r="M12" i="2"/>
  <c r="N11" i="2"/>
  <c r="M11" i="2"/>
  <c r="L11" i="2"/>
  <c r="M10" i="2"/>
  <c r="M9" i="2"/>
  <c r="F33" i="2"/>
  <c r="F32" i="2"/>
  <c r="G15" i="2"/>
  <c r="G16" i="2" s="1"/>
  <c r="E18" i="2"/>
  <c r="G18" i="2"/>
  <c r="D18" i="2"/>
  <c r="C18" i="2"/>
  <c r="E16" i="2"/>
  <c r="D16" i="2"/>
  <c r="C16" i="2"/>
  <c r="G7" i="2"/>
  <c r="N10" i="2" s="1"/>
  <c r="E7" i="2"/>
  <c r="E17" i="2" s="1"/>
  <c r="D7" i="2"/>
  <c r="K11" i="2" s="1"/>
  <c r="C7" i="2"/>
  <c r="J14" i="2" s="1"/>
  <c r="F18" i="2"/>
  <c r="F16" i="2"/>
  <c r="F7" i="2"/>
  <c r="F17" i="2" s="1"/>
  <c r="F23" i="2" s="1"/>
  <c r="F25" i="2" s="1"/>
  <c r="C7" i="1"/>
  <c r="C10" i="1" s="1"/>
  <c r="C8" i="4" l="1"/>
  <c r="C10" i="4" s="1"/>
  <c r="G8" i="4"/>
  <c r="G10" i="4" s="1"/>
  <c r="G12" i="4" s="1"/>
  <c r="E6" i="4"/>
  <c r="E8" i="4" s="1"/>
  <c r="E10" i="4" s="1"/>
  <c r="E12" i="4" s="1"/>
  <c r="D8" i="4"/>
  <c r="D10" i="4" s="1"/>
  <c r="D12" i="4" s="1"/>
  <c r="D56" i="3"/>
  <c r="E56" i="3"/>
  <c r="G56" i="3"/>
  <c r="F56" i="3"/>
  <c r="D28" i="3"/>
  <c r="D58" i="3" s="1"/>
  <c r="E28" i="3"/>
  <c r="E58" i="3" s="1"/>
  <c r="F28" i="3"/>
  <c r="G28" i="3"/>
  <c r="D32" i="2"/>
  <c r="J12" i="2"/>
  <c r="J9" i="2"/>
  <c r="L15" i="2"/>
  <c r="K9" i="2"/>
  <c r="N15" i="2"/>
  <c r="N9" i="2"/>
  <c r="J13" i="2"/>
  <c r="F31" i="2"/>
  <c r="K10" i="2"/>
  <c r="J11" i="2"/>
  <c r="O11" i="2" s="1"/>
  <c r="K14" i="2"/>
  <c r="O14" i="2" s="1"/>
  <c r="C32" i="2"/>
  <c r="C31" i="2" s="1"/>
  <c r="J15" i="2"/>
  <c r="O15" i="2" s="1"/>
  <c r="K15" i="2"/>
  <c r="E32" i="2"/>
  <c r="K12" i="2"/>
  <c r="L12" i="2"/>
  <c r="G32" i="2"/>
  <c r="L9" i="2"/>
  <c r="N12" i="2"/>
  <c r="J10" i="2"/>
  <c r="K13" i="2"/>
  <c r="L13" i="2"/>
  <c r="L10" i="2"/>
  <c r="N13" i="2"/>
  <c r="F28" i="2"/>
  <c r="L14" i="2"/>
  <c r="E23" i="2"/>
  <c r="G17" i="2"/>
  <c r="G23" i="2" s="1"/>
  <c r="C17" i="2"/>
  <c r="C23" i="2" s="1"/>
  <c r="D17" i="2"/>
  <c r="D23" i="2" s="1"/>
  <c r="F58" i="3" l="1"/>
  <c r="G58" i="3"/>
  <c r="G33" i="2"/>
  <c r="G28" i="2"/>
  <c r="E33" i="2"/>
  <c r="E28" i="2"/>
  <c r="O13" i="2"/>
  <c r="O10" i="2"/>
  <c r="G31" i="2"/>
  <c r="G30" i="2"/>
  <c r="O9" i="2"/>
  <c r="O12" i="2"/>
  <c r="D30" i="2"/>
  <c r="D31" i="2"/>
  <c r="D28" i="2"/>
  <c r="D33" i="2"/>
  <c r="E30" i="2"/>
  <c r="E31" i="2"/>
  <c r="C25" i="2"/>
  <c r="C33" i="2"/>
  <c r="C28" i="2"/>
  <c r="F30" i="2"/>
  <c r="D25" i="2"/>
  <c r="D27" i="2"/>
  <c r="G25" i="2"/>
  <c r="G27" i="2"/>
  <c r="E25" i="2"/>
  <c r="E27" i="2"/>
  <c r="F27" i="2"/>
</calcChain>
</file>

<file path=xl/sharedStrings.xml><?xml version="1.0" encoding="utf-8"?>
<sst xmlns="http://schemas.openxmlformats.org/spreadsheetml/2006/main" count="133" uniqueCount="125">
  <si>
    <t>Monte Carlo Fashions Ltd</t>
  </si>
  <si>
    <t>Price</t>
  </si>
  <si>
    <t>Shares Outstanding</t>
  </si>
  <si>
    <t>Market Capitalisation</t>
  </si>
  <si>
    <t>Cash</t>
  </si>
  <si>
    <t>Debt</t>
  </si>
  <si>
    <t xml:space="preserve">Enterprise Value </t>
  </si>
  <si>
    <t>Monte Carlo Fashions Ltd is engaged in manufacturing of designer woollen/ cotton readymade apparels and trading of readymade apparels and other products under its brand "Monte Carlo" which has also been recognized as a "Superbrand".</t>
  </si>
  <si>
    <t>2024-25</t>
  </si>
  <si>
    <t>2021-22</t>
  </si>
  <si>
    <t>2022-23</t>
  </si>
  <si>
    <t>2023-24</t>
  </si>
  <si>
    <t>2020-21</t>
  </si>
  <si>
    <t>Particulars</t>
  </si>
  <si>
    <t>Revenue from operations</t>
  </si>
  <si>
    <t>Other Income</t>
  </si>
  <si>
    <t>In Lakhs</t>
  </si>
  <si>
    <t>Total Income</t>
  </si>
  <si>
    <t>Expenses</t>
  </si>
  <si>
    <t>Cost of Material Consumed</t>
  </si>
  <si>
    <t>Purchase of Stock in trade</t>
  </si>
  <si>
    <t>Changes in inventories</t>
  </si>
  <si>
    <t>Employes benefit expenses</t>
  </si>
  <si>
    <t>Finance Cost</t>
  </si>
  <si>
    <t>Depreciation and amort. Exp</t>
  </si>
  <si>
    <t>Other expenses</t>
  </si>
  <si>
    <t>Total Expenses</t>
  </si>
  <si>
    <t>Profit before tax</t>
  </si>
  <si>
    <t>Tax Expenses</t>
  </si>
  <si>
    <t>- Current tax expenses</t>
  </si>
  <si>
    <t>- Deferred tax expenses</t>
  </si>
  <si>
    <t>- Current tax adj</t>
  </si>
  <si>
    <t>- Deffered tax adj</t>
  </si>
  <si>
    <t>Profit for the year</t>
  </si>
  <si>
    <t>EPS</t>
  </si>
  <si>
    <t>Shares outstanding</t>
  </si>
  <si>
    <t>Income</t>
  </si>
  <si>
    <t>Net Profit Growth rate</t>
  </si>
  <si>
    <t>Net Profit Margin</t>
  </si>
  <si>
    <t>Gross Profit Growth rate</t>
  </si>
  <si>
    <t>Gross Profit Margin</t>
  </si>
  <si>
    <t>Gross Profit</t>
  </si>
  <si>
    <t>Cash accrual</t>
  </si>
  <si>
    <t>Cost per Income</t>
  </si>
  <si>
    <t>Average</t>
  </si>
  <si>
    <t>Percentage wise breakout</t>
  </si>
  <si>
    <t>Balance sheet</t>
  </si>
  <si>
    <t>Assets</t>
  </si>
  <si>
    <t>Non-current assets</t>
  </si>
  <si>
    <t>PPE</t>
  </si>
  <si>
    <t>Right to use assets</t>
  </si>
  <si>
    <t>CWIP</t>
  </si>
  <si>
    <t>Intangible assets</t>
  </si>
  <si>
    <t>Financial assets</t>
  </si>
  <si>
    <t>- Investments</t>
  </si>
  <si>
    <t>- Other financial assets</t>
  </si>
  <si>
    <t>Income tax assets</t>
  </si>
  <si>
    <t>Deffered tax assets</t>
  </si>
  <si>
    <t>Other non current assets</t>
  </si>
  <si>
    <t>Total non current assets</t>
  </si>
  <si>
    <t>Current assets</t>
  </si>
  <si>
    <t>Inventories</t>
  </si>
  <si>
    <t>- Trade receivable</t>
  </si>
  <si>
    <t>- Cash and cash eq</t>
  </si>
  <si>
    <t>- Bank Balance</t>
  </si>
  <si>
    <t>- Loans</t>
  </si>
  <si>
    <t>Other Current assets</t>
  </si>
  <si>
    <t>Total Current assets</t>
  </si>
  <si>
    <t>Total Assets</t>
  </si>
  <si>
    <t>Equity and Liabilities</t>
  </si>
  <si>
    <t xml:space="preserve">Equity  </t>
  </si>
  <si>
    <t>- Equity share capital</t>
  </si>
  <si>
    <t>- Other Equity</t>
  </si>
  <si>
    <t>Total Equity</t>
  </si>
  <si>
    <t>Liabilities</t>
  </si>
  <si>
    <t>Non-current liabilities</t>
  </si>
  <si>
    <t>Financial liabilities</t>
  </si>
  <si>
    <t>- Borrowing</t>
  </si>
  <si>
    <t>- Lease Liabilities</t>
  </si>
  <si>
    <t>- Other financial liabilities</t>
  </si>
  <si>
    <t>Other Non current liabilities</t>
  </si>
  <si>
    <t>Provisions</t>
  </si>
  <si>
    <t>Total Non current liab.</t>
  </si>
  <si>
    <t>Current Liabilities</t>
  </si>
  <si>
    <t>Financial Liabilities</t>
  </si>
  <si>
    <t xml:space="preserve">- Borrowing </t>
  </si>
  <si>
    <t>- Trade Payable</t>
  </si>
  <si>
    <t>Total current liabilities</t>
  </si>
  <si>
    <t>Other current Liabilities</t>
  </si>
  <si>
    <t>Current tax liabilities</t>
  </si>
  <si>
    <t>Total Equity and Liabilities</t>
  </si>
  <si>
    <t>Return on Capital Employed</t>
  </si>
  <si>
    <t>EBIT</t>
  </si>
  <si>
    <t>Capital Employed</t>
  </si>
  <si>
    <t>Return on Equity</t>
  </si>
  <si>
    <t>PAT</t>
  </si>
  <si>
    <t>Equity</t>
  </si>
  <si>
    <t xml:space="preserve">Free Cash Flow </t>
  </si>
  <si>
    <t xml:space="preserve">Adjustment </t>
  </si>
  <si>
    <t>Operating profit before WC</t>
  </si>
  <si>
    <t>WC</t>
  </si>
  <si>
    <t xml:space="preserve">Operating cashflow </t>
  </si>
  <si>
    <t>Tax</t>
  </si>
  <si>
    <t>Net Cash from Opearting activities</t>
  </si>
  <si>
    <t>Investments in Capex</t>
  </si>
  <si>
    <t>Free Cash Flow</t>
  </si>
  <si>
    <t>In Lacs</t>
  </si>
  <si>
    <t>FCF Growth Rate</t>
  </si>
  <si>
    <t>DCF</t>
  </si>
  <si>
    <t>Years</t>
  </si>
  <si>
    <t>Cash Flow</t>
  </si>
  <si>
    <t>Growth Cash Flow</t>
  </si>
  <si>
    <t>Discount Rate</t>
  </si>
  <si>
    <t>Discounted Cash Flow</t>
  </si>
  <si>
    <t>Terminal Value Cash Flow</t>
  </si>
  <si>
    <t xml:space="preserve">Terminal Value </t>
  </si>
  <si>
    <t>Sum of all 10 years</t>
  </si>
  <si>
    <t>Total Present Value</t>
  </si>
  <si>
    <t>Shares</t>
  </si>
  <si>
    <t>Intrinsic Value</t>
  </si>
  <si>
    <t>Current Share Price</t>
  </si>
  <si>
    <t>MOS</t>
  </si>
  <si>
    <t>Growth</t>
  </si>
  <si>
    <t>Terminal Growth</t>
  </si>
  <si>
    <t>MOS (Margin of Safety)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</si>
</sst>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ngal"/>
      <family val="1"/>
    </font>
    <font>
      <b/>
      <sz val="11"/>
      <color theme="1"/>
      <name val="Mangal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1" xfId="0" applyFont="1" applyBorder="1"/>
    <xf numFmtId="43" fontId="3" fillId="0" borderId="1" xfId="1" applyFont="1" applyBorder="1"/>
    <xf numFmtId="43" fontId="3" fillId="0" borderId="1" xfId="1" applyFont="1" applyBorder="1" applyAlignment="1">
      <alignment wrapText="1"/>
    </xf>
    <xf numFmtId="43" fontId="5" fillId="0" borderId="1" xfId="1" applyFont="1" applyBorder="1"/>
    <xf numFmtId="43" fontId="4" fillId="0" borderId="0" xfId="1" applyFont="1"/>
    <xf numFmtId="43" fontId="5" fillId="0" borderId="2" xfId="1" applyFont="1" applyBorder="1"/>
    <xf numFmtId="43" fontId="4" fillId="0" borderId="1" xfId="1" applyFont="1" applyBorder="1"/>
    <xf numFmtId="43" fontId="4" fillId="0" borderId="1" xfId="1" quotePrefix="1" applyFont="1" applyBorder="1"/>
    <xf numFmtId="43" fontId="5" fillId="0" borderId="3" xfId="1" applyFont="1" applyBorder="1"/>
    <xf numFmtId="43" fontId="4" fillId="0" borderId="7" xfId="1" applyFont="1" applyBorder="1"/>
    <xf numFmtId="10" fontId="4" fillId="0" borderId="0" xfId="1" applyNumberFormat="1" applyFont="1"/>
    <xf numFmtId="43" fontId="4" fillId="0" borderId="0" xfId="1" applyFont="1" applyBorder="1"/>
    <xf numFmtId="10" fontId="5" fillId="0" borderId="1" xfId="1" applyNumberFormat="1" applyFont="1" applyBorder="1"/>
    <xf numFmtId="10" fontId="4" fillId="0" borderId="1" xfId="1" applyNumberFormat="1" applyFont="1" applyBorder="1"/>
    <xf numFmtId="43" fontId="5" fillId="0" borderId="4" xfId="1" applyFont="1" applyBorder="1"/>
    <xf numFmtId="0" fontId="5" fillId="0" borderId="1" xfId="0" applyFont="1" applyBorder="1" applyAlignment="1">
      <alignment horizontal="center" vertical="center"/>
    </xf>
    <xf numFmtId="43" fontId="5" fillId="0" borderId="0" xfId="1" applyFont="1" applyBorder="1"/>
    <xf numFmtId="0" fontId="3" fillId="0" borderId="0" xfId="0" applyFont="1" applyAlignment="1">
      <alignment wrapText="1"/>
    </xf>
    <xf numFmtId="43" fontId="5" fillId="0" borderId="4" xfId="1" applyFont="1" applyBorder="1"/>
    <xf numFmtId="43" fontId="5" fillId="0" borderId="6" xfId="1" applyFont="1" applyBorder="1"/>
    <xf numFmtId="43" fontId="5" fillId="0" borderId="5" xfId="1" applyFont="1" applyBorder="1"/>
    <xf numFmtId="0" fontId="5" fillId="0" borderId="1" xfId="0" applyFont="1" applyBorder="1"/>
    <xf numFmtId="43" fontId="5" fillId="0" borderId="1" xfId="1" applyFont="1" applyBorder="1" applyAlignment="1">
      <alignment wrapText="1"/>
    </xf>
    <xf numFmtId="1" fontId="5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43" fontId="4" fillId="0" borderId="1" xfId="0" applyNumberFormat="1" applyFont="1" applyBorder="1"/>
    <xf numFmtId="0" fontId="5" fillId="0" borderId="1" xfId="0" applyFont="1" applyBorder="1" applyAlignment="1">
      <alignment wrapText="1"/>
    </xf>
    <xf numFmtId="43" fontId="5" fillId="0" borderId="1" xfId="0" applyNumberFormat="1" applyFont="1" applyBorder="1"/>
    <xf numFmtId="10" fontId="5" fillId="0" borderId="1" xfId="0" applyNumberFormat="1" applyFont="1" applyBorder="1"/>
    <xf numFmtId="43" fontId="3" fillId="0" borderId="1" xfId="1" applyFont="1" applyBorder="1" applyAlignment="1"/>
    <xf numFmtId="10" fontId="3" fillId="0" borderId="1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6"/>
  <sheetViews>
    <sheetView tabSelected="1" topLeftCell="A2" workbookViewId="0">
      <selection activeCell="C5" sqref="C5"/>
    </sheetView>
  </sheetViews>
  <sheetFormatPr defaultRowHeight="24" x14ac:dyDescent="0.8"/>
  <cols>
    <col min="1" max="1" width="8.88671875" style="1"/>
    <col min="2" max="2" width="28" style="1" bestFit="1" customWidth="1"/>
    <col min="3" max="3" width="24" style="1" bestFit="1" customWidth="1"/>
    <col min="4" max="4" width="10.109375" style="1" bestFit="1" customWidth="1"/>
    <col min="5" max="5" width="9.88671875" style="1" bestFit="1" customWidth="1"/>
    <col min="6" max="16384" width="8.88671875" style="1"/>
  </cols>
  <sheetData>
    <row r="3" spans="2:6" x14ac:dyDescent="0.8">
      <c r="B3" s="2" t="s">
        <v>0</v>
      </c>
    </row>
    <row r="5" spans="2:6" x14ac:dyDescent="0.8">
      <c r="B5" s="3" t="s">
        <v>1</v>
      </c>
      <c r="C5" s="3">
        <v>612</v>
      </c>
    </row>
    <row r="6" spans="2:6" x14ac:dyDescent="0.8">
      <c r="B6" s="4" t="s">
        <v>2</v>
      </c>
      <c r="C6" s="3">
        <v>2.0699999999999998</v>
      </c>
    </row>
    <row r="7" spans="2:6" x14ac:dyDescent="0.8">
      <c r="B7" s="3" t="s">
        <v>3</v>
      </c>
      <c r="C7" s="3">
        <f>C5*C6</f>
        <v>1266.8399999999999</v>
      </c>
    </row>
    <row r="8" spans="2:6" x14ac:dyDescent="0.8">
      <c r="B8" s="3" t="s">
        <v>4</v>
      </c>
      <c r="C8" s="3">
        <v>35</v>
      </c>
    </row>
    <row r="9" spans="2:6" x14ac:dyDescent="0.8">
      <c r="B9" s="3" t="s">
        <v>5</v>
      </c>
      <c r="C9" s="3">
        <v>521</v>
      </c>
    </row>
    <row r="10" spans="2:6" x14ac:dyDescent="0.8">
      <c r="B10" s="3" t="s">
        <v>6</v>
      </c>
      <c r="C10" s="3">
        <f>+C7-C8+C9</f>
        <v>1752.84</v>
      </c>
    </row>
    <row r="11" spans="2:6" x14ac:dyDescent="0.8">
      <c r="B11" s="31" t="s">
        <v>124</v>
      </c>
      <c r="C11" s="32">
        <f>+DCF!E36</f>
        <v>4.41209034128598E-3</v>
      </c>
    </row>
    <row r="13" spans="2:6" x14ac:dyDescent="0.8">
      <c r="B13" s="19" t="s">
        <v>7</v>
      </c>
      <c r="C13" s="19"/>
      <c r="D13" s="19"/>
      <c r="E13" s="19"/>
      <c r="F13" s="19"/>
    </row>
    <row r="14" spans="2:6" x14ac:dyDescent="0.8">
      <c r="B14" s="19"/>
      <c r="C14" s="19"/>
      <c r="D14" s="19"/>
      <c r="E14" s="19"/>
      <c r="F14" s="19"/>
    </row>
    <row r="15" spans="2:6" x14ac:dyDescent="0.8">
      <c r="B15" s="19"/>
      <c r="C15" s="19"/>
      <c r="D15" s="19"/>
      <c r="E15" s="19"/>
      <c r="F15" s="19"/>
    </row>
    <row r="16" spans="2:6" x14ac:dyDescent="0.8">
      <c r="B16" s="19"/>
      <c r="C16" s="19"/>
      <c r="D16" s="19"/>
      <c r="E16" s="19"/>
      <c r="F16" s="19"/>
    </row>
  </sheetData>
  <mergeCells count="1">
    <mergeCell ref="B13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BF31-C60D-4E90-BB2D-F64481FDEA90}">
  <dimension ref="B2:O34"/>
  <sheetViews>
    <sheetView showGridLines="0" view="pageBreakPreview" topLeftCell="A12" zoomScale="102" zoomScaleNormal="87" zoomScaleSheetLayoutView="102" workbookViewId="0">
      <selection activeCell="C7" sqref="C7"/>
    </sheetView>
  </sheetViews>
  <sheetFormatPr defaultRowHeight="13.8" x14ac:dyDescent="0.25"/>
  <cols>
    <col min="1" max="1" width="1.88671875" style="6" customWidth="1"/>
    <col min="2" max="2" width="25.88671875" style="6" bestFit="1" customWidth="1"/>
    <col min="3" max="4" width="11" style="6" bestFit="1" customWidth="1"/>
    <col min="5" max="7" width="12.109375" style="6" bestFit="1" customWidth="1"/>
    <col min="8" max="9" width="1.6640625" style="6" customWidth="1"/>
    <col min="10" max="10" width="10.44140625" style="6" bestFit="1" customWidth="1"/>
    <col min="11" max="14" width="8.88671875" style="6"/>
    <col min="15" max="15" width="9.6640625" style="6" bestFit="1" customWidth="1"/>
    <col min="16" max="16" width="2.109375" style="6" customWidth="1"/>
    <col min="17" max="16384" width="8.88671875" style="6"/>
  </cols>
  <sheetData>
    <row r="2" spans="2:15" x14ac:dyDescent="0.25">
      <c r="B2" s="7" t="s">
        <v>16</v>
      </c>
    </row>
    <row r="3" spans="2:15" x14ac:dyDescent="0.25">
      <c r="B3" s="7" t="s">
        <v>36</v>
      </c>
    </row>
    <row r="4" spans="2:15" x14ac:dyDescent="0.25">
      <c r="B4" s="5" t="s">
        <v>13</v>
      </c>
      <c r="C4" s="5" t="s">
        <v>12</v>
      </c>
      <c r="D4" s="5" t="s">
        <v>9</v>
      </c>
      <c r="E4" s="5" t="s">
        <v>10</v>
      </c>
      <c r="F4" s="5" t="s">
        <v>11</v>
      </c>
      <c r="G4" s="5" t="s">
        <v>8</v>
      </c>
    </row>
    <row r="5" spans="2:15" x14ac:dyDescent="0.25">
      <c r="B5" s="8" t="s">
        <v>14</v>
      </c>
      <c r="C5" s="8">
        <v>62201.73</v>
      </c>
      <c r="D5" s="8">
        <v>90432.2</v>
      </c>
      <c r="E5" s="8">
        <v>111771</v>
      </c>
      <c r="F5" s="8">
        <v>106191</v>
      </c>
      <c r="G5" s="8">
        <v>110041</v>
      </c>
    </row>
    <row r="6" spans="2:15" x14ac:dyDescent="0.25">
      <c r="B6" s="8" t="s">
        <v>15</v>
      </c>
      <c r="C6" s="8">
        <v>2017.07</v>
      </c>
      <c r="D6" s="8">
        <v>2548.69</v>
      </c>
      <c r="E6" s="8">
        <v>2083</v>
      </c>
      <c r="F6" s="8">
        <v>2750</v>
      </c>
      <c r="G6" s="8">
        <v>3517</v>
      </c>
    </row>
    <row r="7" spans="2:15" x14ac:dyDescent="0.25">
      <c r="B7" s="5" t="s">
        <v>17</v>
      </c>
      <c r="C7" s="5">
        <f t="shared" ref="C7:E7" si="0">SUM(C5:C6)</f>
        <v>64218.8</v>
      </c>
      <c r="D7" s="5">
        <f t="shared" si="0"/>
        <v>92980.89</v>
      </c>
      <c r="E7" s="5">
        <f t="shared" si="0"/>
        <v>113854</v>
      </c>
      <c r="F7" s="5">
        <f>SUM(F5:F6)</f>
        <v>108941</v>
      </c>
      <c r="G7" s="5">
        <f>SUM(G5:G6)</f>
        <v>113558</v>
      </c>
      <c r="J7" s="20" t="s">
        <v>43</v>
      </c>
      <c r="K7" s="21"/>
      <c r="L7" s="20" t="s">
        <v>45</v>
      </c>
      <c r="M7" s="22"/>
      <c r="N7" s="22"/>
      <c r="O7" s="21"/>
    </row>
    <row r="8" spans="2:15" x14ac:dyDescent="0.25">
      <c r="B8" s="10" t="s">
        <v>18</v>
      </c>
      <c r="C8" s="11"/>
      <c r="D8" s="11"/>
      <c r="E8" s="11"/>
      <c r="F8" s="11"/>
      <c r="G8" s="11"/>
      <c r="J8" s="5" t="str">
        <f>+C4</f>
        <v>2020-21</v>
      </c>
      <c r="K8" s="5" t="str">
        <f>+D4</f>
        <v>2021-22</v>
      </c>
      <c r="L8" s="5" t="str">
        <f>+E4</f>
        <v>2022-23</v>
      </c>
      <c r="M8" s="5" t="str">
        <f>+F4</f>
        <v>2023-24</v>
      </c>
      <c r="N8" s="16" t="str">
        <f>+G4</f>
        <v>2024-25</v>
      </c>
      <c r="O8" s="5" t="s">
        <v>44</v>
      </c>
    </row>
    <row r="9" spans="2:15" x14ac:dyDescent="0.25">
      <c r="B9" s="8" t="s">
        <v>19</v>
      </c>
      <c r="C9" s="8">
        <v>14894.44</v>
      </c>
      <c r="D9" s="8">
        <v>22996.21</v>
      </c>
      <c r="E9" s="8">
        <v>13947</v>
      </c>
      <c r="F9" s="8">
        <v>11683</v>
      </c>
      <c r="G9" s="8">
        <v>10724</v>
      </c>
      <c r="J9" s="15">
        <f>+C9/$C$7</f>
        <v>0.23193270506456054</v>
      </c>
      <c r="K9" s="15">
        <f>+D9/$D$7</f>
        <v>0.24732189592936785</v>
      </c>
      <c r="L9" s="15">
        <f>+E9/$E$7</f>
        <v>0.12249898993447748</v>
      </c>
      <c r="M9" s="15">
        <f>+F9/$F$7</f>
        <v>0.10724153440853305</v>
      </c>
      <c r="N9" s="15">
        <f>+G9/$G$7</f>
        <v>9.4436323288539778E-2</v>
      </c>
      <c r="O9" s="15">
        <f>+AVERAGE(J9:N9)</f>
        <v>0.16068628972509574</v>
      </c>
    </row>
    <row r="10" spans="2:15" x14ac:dyDescent="0.25">
      <c r="B10" s="8" t="s">
        <v>20</v>
      </c>
      <c r="C10" s="8">
        <v>16894.580000000002</v>
      </c>
      <c r="D10" s="8">
        <v>31740.63</v>
      </c>
      <c r="E10" s="8">
        <v>61493</v>
      </c>
      <c r="F10" s="8">
        <v>47127</v>
      </c>
      <c r="G10" s="8">
        <v>53405</v>
      </c>
      <c r="J10" s="15">
        <f t="shared" ref="J10:J15" si="1">+C10/$C$7</f>
        <v>0.26307841317495811</v>
      </c>
      <c r="K10" s="15">
        <f t="shared" ref="K10:K15" si="2">+D10/$D$7</f>
        <v>0.34136724223654991</v>
      </c>
      <c r="L10" s="15">
        <f t="shared" ref="L10:L15" si="3">+E10/$E$7</f>
        <v>0.54010399283292643</v>
      </c>
      <c r="M10" s="15">
        <f t="shared" ref="M10:M15" si="4">+F10/$F$7</f>
        <v>0.43259195344268914</v>
      </c>
      <c r="N10" s="15">
        <f t="shared" ref="N10:N15" si="5">+G10/$G$7</f>
        <v>0.47028831081914085</v>
      </c>
      <c r="O10" s="15">
        <f t="shared" ref="O10:O15" si="6">+AVERAGE(J10:N10)</f>
        <v>0.4094859825012529</v>
      </c>
    </row>
    <row r="11" spans="2:15" x14ac:dyDescent="0.25">
      <c r="B11" s="8" t="s">
        <v>21</v>
      </c>
      <c r="C11" s="8">
        <v>1309.95</v>
      </c>
      <c r="D11" s="8">
        <v>-7956.53</v>
      </c>
      <c r="E11" s="8">
        <v>-16157</v>
      </c>
      <c r="F11" s="8">
        <v>2199</v>
      </c>
      <c r="G11" s="8">
        <v>-6827</v>
      </c>
      <c r="J11" s="15">
        <f t="shared" si="1"/>
        <v>2.039823229334712E-2</v>
      </c>
      <c r="K11" s="15">
        <f t="shared" si="2"/>
        <v>-8.5571669619423946E-2</v>
      </c>
      <c r="L11" s="15">
        <f t="shared" si="3"/>
        <v>-0.14190981432360741</v>
      </c>
      <c r="M11" s="15">
        <f t="shared" si="4"/>
        <v>2.0185237881054884E-2</v>
      </c>
      <c r="N11" s="15">
        <f t="shared" si="5"/>
        <v>-6.0119058102467461E-2</v>
      </c>
      <c r="O11" s="15">
        <f t="shared" si="6"/>
        <v>-4.9403414374219363E-2</v>
      </c>
    </row>
    <row r="12" spans="2:15" x14ac:dyDescent="0.25">
      <c r="B12" s="8" t="s">
        <v>22</v>
      </c>
      <c r="C12" s="8">
        <v>5988.56</v>
      </c>
      <c r="D12" s="8">
        <v>8117.7</v>
      </c>
      <c r="E12" s="8">
        <v>9661</v>
      </c>
      <c r="F12" s="8">
        <v>10613</v>
      </c>
      <c r="G12" s="8">
        <v>12249</v>
      </c>
      <c r="J12" s="15">
        <f t="shared" si="1"/>
        <v>9.3252443209776575E-2</v>
      </c>
      <c r="K12" s="15">
        <f t="shared" si="2"/>
        <v>8.7305036551059034E-2</v>
      </c>
      <c r="L12" s="15">
        <f t="shared" si="3"/>
        <v>8.4854287069404677E-2</v>
      </c>
      <c r="M12" s="15">
        <f t="shared" si="4"/>
        <v>9.7419704243581387E-2</v>
      </c>
      <c r="N12" s="15">
        <f t="shared" si="5"/>
        <v>0.10786558410680006</v>
      </c>
      <c r="O12" s="15">
        <f t="shared" si="6"/>
        <v>9.4139411036124332E-2</v>
      </c>
    </row>
    <row r="13" spans="2:15" x14ac:dyDescent="0.25">
      <c r="B13" s="8" t="s">
        <v>23</v>
      </c>
      <c r="C13" s="8">
        <v>1351.04</v>
      </c>
      <c r="D13" s="8">
        <v>1568.47</v>
      </c>
      <c r="E13" s="8">
        <v>2445</v>
      </c>
      <c r="F13" s="8">
        <v>3748</v>
      </c>
      <c r="G13" s="8">
        <v>4759</v>
      </c>
      <c r="J13" s="15">
        <f t="shared" si="1"/>
        <v>2.1038076077410352E-2</v>
      </c>
      <c r="K13" s="15">
        <f t="shared" si="2"/>
        <v>1.6868735070184854E-2</v>
      </c>
      <c r="L13" s="15">
        <f t="shared" si="3"/>
        <v>2.1474871326435611E-2</v>
      </c>
      <c r="M13" s="15">
        <f t="shared" si="4"/>
        <v>3.4403943418914826E-2</v>
      </c>
      <c r="N13" s="15">
        <f t="shared" si="5"/>
        <v>4.1908099825639762E-2</v>
      </c>
      <c r="O13" s="15">
        <f t="shared" si="6"/>
        <v>2.7138745143717079E-2</v>
      </c>
    </row>
    <row r="14" spans="2:15" x14ac:dyDescent="0.25">
      <c r="B14" s="8" t="s">
        <v>24</v>
      </c>
      <c r="C14" s="8">
        <v>3420.03</v>
      </c>
      <c r="D14" s="8">
        <v>3725.29</v>
      </c>
      <c r="E14" s="8">
        <v>4177</v>
      </c>
      <c r="F14" s="8">
        <v>5122</v>
      </c>
      <c r="G14" s="8">
        <v>6017</v>
      </c>
      <c r="J14" s="15">
        <f t="shared" si="1"/>
        <v>5.3255900141391616E-2</v>
      </c>
      <c r="K14" s="15">
        <f t="shared" si="2"/>
        <v>4.0065114455239137E-2</v>
      </c>
      <c r="L14" s="15">
        <f t="shared" si="3"/>
        <v>3.6687336413301248E-2</v>
      </c>
      <c r="M14" s="15">
        <f t="shared" si="4"/>
        <v>4.701627486437613E-2</v>
      </c>
      <c r="N14" s="15">
        <f t="shared" si="5"/>
        <v>5.2986139241621023E-2</v>
      </c>
      <c r="O14" s="15">
        <f t="shared" si="6"/>
        <v>4.6002153023185825E-2</v>
      </c>
    </row>
    <row r="15" spans="2:15" x14ac:dyDescent="0.25">
      <c r="B15" s="8" t="s">
        <v>25</v>
      </c>
      <c r="C15" s="8">
        <v>11558.13</v>
      </c>
      <c r="D15" s="8">
        <v>17540.98</v>
      </c>
      <c r="E15" s="8">
        <v>21067</v>
      </c>
      <c r="F15" s="8">
        <v>20382</v>
      </c>
      <c r="G15" s="8">
        <f>4335+17505</f>
        <v>21840</v>
      </c>
      <c r="J15" s="15">
        <f t="shared" si="1"/>
        <v>0.17998047300790421</v>
      </c>
      <c r="K15" s="15">
        <f t="shared" si="2"/>
        <v>0.18865145300286973</v>
      </c>
      <c r="L15" s="15">
        <f t="shared" si="3"/>
        <v>0.18503522054561106</v>
      </c>
      <c r="M15" s="15">
        <f t="shared" si="4"/>
        <v>0.18709209572153734</v>
      </c>
      <c r="N15" s="15">
        <f t="shared" si="5"/>
        <v>0.19232462706282252</v>
      </c>
      <c r="O15" s="15">
        <f t="shared" si="6"/>
        <v>0.18661677386814896</v>
      </c>
    </row>
    <row r="16" spans="2:15" x14ac:dyDescent="0.25">
      <c r="B16" s="5" t="s">
        <v>26</v>
      </c>
      <c r="C16" s="5">
        <f t="shared" ref="C16:E16" si="7">SUM(C9:C15)</f>
        <v>55416.729999999996</v>
      </c>
      <c r="D16" s="5">
        <f t="shared" si="7"/>
        <v>77732.75</v>
      </c>
      <c r="E16" s="5">
        <f t="shared" si="7"/>
        <v>96633</v>
      </c>
      <c r="F16" s="5">
        <f>SUM(F9:F15)</f>
        <v>100874</v>
      </c>
      <c r="G16" s="5">
        <f>SUM(G9:G15)</f>
        <v>102167</v>
      </c>
      <c r="J16" s="15">
        <f>+C17/$C$7</f>
        <v>0.13706375703065157</v>
      </c>
      <c r="K16" s="15">
        <f>+D17/$D$7</f>
        <v>0.16399219237415344</v>
      </c>
      <c r="L16" s="15">
        <f>+E17/$E$7</f>
        <v>0.15125511620145099</v>
      </c>
      <c r="M16" s="15">
        <f>+F17/$F$7</f>
        <v>7.4049256019313212E-2</v>
      </c>
      <c r="N16" s="15">
        <f>+G17/$G$7</f>
        <v>0.10030997375790345</v>
      </c>
      <c r="O16" s="15">
        <f t="shared" ref="O16" si="8">+AVERAGE(J16:N16)</f>
        <v>0.12533405907669454</v>
      </c>
    </row>
    <row r="17" spans="2:15" x14ac:dyDescent="0.25">
      <c r="B17" s="5" t="s">
        <v>27</v>
      </c>
      <c r="C17" s="5">
        <f>C7-C16</f>
        <v>8802.070000000007</v>
      </c>
      <c r="D17" s="5">
        <f>D7-D16</f>
        <v>15248.14</v>
      </c>
      <c r="E17" s="5">
        <f>E7-E16</f>
        <v>17221</v>
      </c>
      <c r="F17" s="5">
        <f>F7-F16</f>
        <v>8067</v>
      </c>
      <c r="G17" s="5">
        <f>G7-G16</f>
        <v>11391</v>
      </c>
      <c r="J17" s="15">
        <f t="shared" ref="J17:O17" si="9">SUM(J9:J16)</f>
        <v>1</v>
      </c>
      <c r="K17" s="15">
        <f t="shared" si="9"/>
        <v>1</v>
      </c>
      <c r="L17" s="15">
        <f t="shared" si="9"/>
        <v>1.0000000000000002</v>
      </c>
      <c r="M17" s="15">
        <f t="shared" si="9"/>
        <v>0.99999999999999989</v>
      </c>
      <c r="N17" s="15">
        <f t="shared" si="9"/>
        <v>0.99999999999999989</v>
      </c>
      <c r="O17" s="15">
        <f t="shared" si="9"/>
        <v>1</v>
      </c>
    </row>
    <row r="18" spans="2:15" x14ac:dyDescent="0.25">
      <c r="B18" s="5" t="s">
        <v>28</v>
      </c>
      <c r="C18" s="5">
        <f t="shared" ref="C18:D18" si="10">SUM(C19:C21)</f>
        <v>2172.4899999999998</v>
      </c>
      <c r="D18" s="5">
        <f t="shared" si="10"/>
        <v>3853.9199999999996</v>
      </c>
      <c r="E18" s="5">
        <f>SUM(E19:E22)</f>
        <v>3969</v>
      </c>
      <c r="F18" s="5">
        <f>SUM(F19:F21)</f>
        <v>2073</v>
      </c>
      <c r="G18" s="5">
        <f>SUM(G19:G21)</f>
        <v>3274</v>
      </c>
      <c r="J18" s="15">
        <f t="shared" ref="J18" si="11">+C18/$C$7</f>
        <v>3.3829501641263922E-2</v>
      </c>
      <c r="K18" s="15">
        <f t="shared" ref="K18" si="12">+D18/$D$7</f>
        <v>4.1448517001719379E-2</v>
      </c>
      <c r="L18" s="15">
        <f t="shared" ref="L18" si="13">+E18/$E$7</f>
        <v>3.486043529432431E-2</v>
      </c>
      <c r="M18" s="15">
        <f t="shared" ref="M18" si="14">+F18/$F$7</f>
        <v>1.9028648534527865E-2</v>
      </c>
      <c r="N18" s="15">
        <f t="shared" ref="N18" si="15">+G18/$G$7</f>
        <v>2.8831081914087956E-2</v>
      </c>
      <c r="O18" s="15">
        <f t="shared" ref="O18" si="16">+AVERAGE(J18:N18)</f>
        <v>3.1599636877184686E-2</v>
      </c>
    </row>
    <row r="19" spans="2:15" x14ac:dyDescent="0.25">
      <c r="B19" s="9" t="s">
        <v>29</v>
      </c>
      <c r="C19" s="8">
        <v>2393.6799999999998</v>
      </c>
      <c r="D19" s="8">
        <v>4244.03</v>
      </c>
      <c r="E19" s="8">
        <v>5163</v>
      </c>
      <c r="F19" s="8">
        <v>2510</v>
      </c>
      <c r="G19" s="8">
        <v>3320</v>
      </c>
      <c r="J19" s="15">
        <f>+C23/$C$7</f>
        <v>0.10323425538938764</v>
      </c>
      <c r="K19" s="15">
        <f>+D23/$D$7</f>
        <v>0.12254367537243405</v>
      </c>
      <c r="L19" s="15">
        <f>+E23/$E$7</f>
        <v>0.11639468090712667</v>
      </c>
      <c r="M19" s="15">
        <f>+F23/$F$7</f>
        <v>5.5020607484785343E-2</v>
      </c>
      <c r="N19" s="15">
        <f>+G23/$G$7</f>
        <v>7.1478891843815492E-2</v>
      </c>
      <c r="O19" s="15">
        <f t="shared" ref="O19" si="17">+AVERAGE(J19:N19)</f>
        <v>9.3734422199509837E-2</v>
      </c>
    </row>
    <row r="20" spans="2:15" x14ac:dyDescent="0.25">
      <c r="B20" s="9" t="s">
        <v>30</v>
      </c>
      <c r="C20" s="8">
        <v>-221.19</v>
      </c>
      <c r="D20" s="8">
        <v>-390.11</v>
      </c>
      <c r="E20" s="8">
        <v>-693</v>
      </c>
      <c r="F20" s="8">
        <v>-314</v>
      </c>
      <c r="G20" s="8">
        <v>-46</v>
      </c>
      <c r="J20" s="12"/>
    </row>
    <row r="21" spans="2:15" x14ac:dyDescent="0.25">
      <c r="B21" s="9" t="s">
        <v>31</v>
      </c>
      <c r="C21" s="8">
        <v>0</v>
      </c>
      <c r="D21" s="8">
        <v>0</v>
      </c>
      <c r="E21" s="8">
        <v>-323</v>
      </c>
      <c r="F21" s="8">
        <v>-123</v>
      </c>
      <c r="G21" s="8">
        <v>0</v>
      </c>
    </row>
    <row r="22" spans="2:15" x14ac:dyDescent="0.25">
      <c r="B22" s="9" t="s">
        <v>32</v>
      </c>
      <c r="C22" s="8">
        <v>0</v>
      </c>
      <c r="D22" s="8">
        <v>0</v>
      </c>
      <c r="E22" s="8">
        <v>-178</v>
      </c>
      <c r="F22" s="8">
        <v>0</v>
      </c>
      <c r="G22" s="8">
        <v>0</v>
      </c>
    </row>
    <row r="23" spans="2:15" x14ac:dyDescent="0.25">
      <c r="B23" s="5" t="s">
        <v>33</v>
      </c>
      <c r="C23" s="5">
        <f>C17-C18</f>
        <v>6629.5800000000072</v>
      </c>
      <c r="D23" s="5">
        <f>D17-D18</f>
        <v>11394.22</v>
      </c>
      <c r="E23" s="5">
        <f>E17-E18</f>
        <v>13252</v>
      </c>
      <c r="F23" s="5">
        <f>F17-F18</f>
        <v>5994</v>
      </c>
      <c r="G23" s="5">
        <f>G17-G18</f>
        <v>8117</v>
      </c>
    </row>
    <row r="24" spans="2:15" x14ac:dyDescent="0.25">
      <c r="B24" s="8" t="s">
        <v>34</v>
      </c>
      <c r="C24" s="5">
        <v>31.98</v>
      </c>
      <c r="D24" s="5">
        <v>54.96</v>
      </c>
      <c r="E24" s="5">
        <v>63.92</v>
      </c>
      <c r="F24" s="5">
        <v>28.91</v>
      </c>
      <c r="G24" s="5">
        <v>39.15</v>
      </c>
    </row>
    <row r="25" spans="2:15" x14ac:dyDescent="0.25">
      <c r="B25" s="8" t="s">
        <v>35</v>
      </c>
      <c r="C25" s="8">
        <f t="shared" ref="C25:E25" si="18">C23/C24</f>
        <v>207.30393996247676</v>
      </c>
      <c r="D25" s="8">
        <f t="shared" si="18"/>
        <v>207.31841339155747</v>
      </c>
      <c r="E25" s="8">
        <f t="shared" si="18"/>
        <v>207.32165206508134</v>
      </c>
      <c r="F25" s="8">
        <f>F23/F24</f>
        <v>207.33310273261847</v>
      </c>
      <c r="G25" s="8">
        <f>G23/G24</f>
        <v>207.330779054917</v>
      </c>
    </row>
    <row r="26" spans="2:15" x14ac:dyDescent="0.25">
      <c r="B26" s="13"/>
      <c r="C26" s="13"/>
      <c r="D26" s="13"/>
      <c r="E26" s="13"/>
      <c r="F26" s="13"/>
      <c r="G26" s="13"/>
    </row>
    <row r="27" spans="2:15" x14ac:dyDescent="0.25">
      <c r="B27" s="5" t="s">
        <v>37</v>
      </c>
      <c r="C27" s="5">
        <v>0</v>
      </c>
      <c r="D27" s="14">
        <f>(D23-C23)/C23</f>
        <v>0.71869409525188432</v>
      </c>
      <c r="E27" s="14">
        <f t="shared" ref="E27:G27" si="19">(E23-D23)/D23</f>
        <v>0.16304582498845913</v>
      </c>
      <c r="F27" s="14">
        <f t="shared" si="19"/>
        <v>-0.54769091457893149</v>
      </c>
      <c r="G27" s="14">
        <f t="shared" si="19"/>
        <v>0.35418752085418753</v>
      </c>
    </row>
    <row r="28" spans="2:15" x14ac:dyDescent="0.25">
      <c r="B28" s="5" t="s">
        <v>38</v>
      </c>
      <c r="C28" s="14">
        <f>+C23/C7</f>
        <v>0.10323425538938764</v>
      </c>
      <c r="D28" s="14">
        <f t="shared" ref="D28:G28" si="20">+D23/D7</f>
        <v>0.12254367537243405</v>
      </c>
      <c r="E28" s="14">
        <f t="shared" si="20"/>
        <v>0.11639468090712667</v>
      </c>
      <c r="F28" s="14">
        <f t="shared" si="20"/>
        <v>5.5020607484785343E-2</v>
      </c>
      <c r="G28" s="14">
        <f t="shared" si="20"/>
        <v>7.1478891843815492E-2</v>
      </c>
    </row>
    <row r="30" spans="2:15" x14ac:dyDescent="0.25">
      <c r="B30" s="5" t="s">
        <v>39</v>
      </c>
      <c r="C30" s="8">
        <v>0</v>
      </c>
      <c r="D30" s="15">
        <f>(D32-C32)/C32</f>
        <v>0.51467959335899938</v>
      </c>
      <c r="E30" s="15">
        <f>(E32-D32)/D32</f>
        <v>0.17276346282237678</v>
      </c>
      <c r="F30" s="15">
        <f>(F32-E32)/E32</f>
        <v>-0.21085625354529985</v>
      </c>
      <c r="G30" s="15">
        <f>(G32-F32)/F32</f>
        <v>0.21966234149218519</v>
      </c>
    </row>
    <row r="31" spans="2:15" x14ac:dyDescent="0.25">
      <c r="B31" s="5" t="s">
        <v>40</v>
      </c>
      <c r="C31" s="14">
        <f>+C32/C5</f>
        <v>0.3111200444103403</v>
      </c>
      <c r="D31" s="14">
        <f t="shared" ref="D31:G31" si="21">+D32/D5</f>
        <v>0.32413664601767944</v>
      </c>
      <c r="E31" s="14">
        <f t="shared" si="21"/>
        <v>0.30756188993567202</v>
      </c>
      <c r="F31" s="14">
        <f t="shared" si="21"/>
        <v>0.25546421071465569</v>
      </c>
      <c r="G31" s="14">
        <f t="shared" si="21"/>
        <v>0.30067883788769639</v>
      </c>
    </row>
    <row r="32" spans="2:15" x14ac:dyDescent="0.25">
      <c r="B32" s="5" t="s">
        <v>41</v>
      </c>
      <c r="C32" s="5">
        <f>+C7-C9-C10-C11-C12-(C15*0.5)</f>
        <v>19352.204999999998</v>
      </c>
      <c r="D32" s="5">
        <f t="shared" ref="D32:G32" si="22">+D7-D9-D10-D11-D12-(D15*0.5)</f>
        <v>29312.389999999992</v>
      </c>
      <c r="E32" s="5">
        <f t="shared" si="22"/>
        <v>34376.5</v>
      </c>
      <c r="F32" s="5">
        <f t="shared" si="22"/>
        <v>27128</v>
      </c>
      <c r="G32" s="5">
        <f t="shared" si="22"/>
        <v>33087</v>
      </c>
    </row>
    <row r="33" spans="2:7" x14ac:dyDescent="0.25">
      <c r="B33" s="5" t="s">
        <v>42</v>
      </c>
      <c r="C33" s="5">
        <f>+C23+C14</f>
        <v>10049.610000000008</v>
      </c>
      <c r="D33" s="5">
        <f t="shared" ref="D33:G33" si="23">+D23+D14</f>
        <v>15119.509999999998</v>
      </c>
      <c r="E33" s="5">
        <f t="shared" si="23"/>
        <v>17429</v>
      </c>
      <c r="F33" s="5">
        <f t="shared" si="23"/>
        <v>11116</v>
      </c>
      <c r="G33" s="5">
        <f t="shared" si="23"/>
        <v>14134</v>
      </c>
    </row>
    <row r="34" spans="2:7" ht="6.6" customHeight="1" x14ac:dyDescent="0.25"/>
  </sheetData>
  <mergeCells count="2">
    <mergeCell ref="J7:K7"/>
    <mergeCell ref="L7:O7"/>
  </mergeCells>
  <pageMargins left="0.7" right="0.7" top="0.75" bottom="0.75" header="0.3" footer="0.3"/>
  <pageSetup scale="58" orientation="portrait" r:id="rId1"/>
  <ignoredErrors>
    <ignoredError sqref="C18:G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61C4-6564-4F68-A65E-FE6EC4A1CEC2}">
  <dimension ref="B1:N66"/>
  <sheetViews>
    <sheetView view="pageBreakPreview" zoomScale="107" zoomScaleNormal="100" zoomScaleSheetLayoutView="107" workbookViewId="0">
      <selection activeCell="K13" sqref="K13"/>
    </sheetView>
  </sheetViews>
  <sheetFormatPr defaultRowHeight="13.8" x14ac:dyDescent="0.25"/>
  <cols>
    <col min="1" max="1" width="3.44140625" style="6" customWidth="1"/>
    <col min="2" max="2" width="27.6640625" style="6" bestFit="1" customWidth="1"/>
    <col min="3" max="6" width="11.77734375" style="6" bestFit="1" customWidth="1"/>
    <col min="7" max="7" width="10.6640625" style="6" bestFit="1" customWidth="1"/>
    <col min="8" max="8" width="2.109375" style="6" customWidth="1"/>
    <col min="9" max="13" width="10.6640625" style="6" bestFit="1" customWidth="1"/>
    <col min="14" max="14" width="9.6640625" style="6" bestFit="1" customWidth="1"/>
    <col min="15" max="16384" width="8.88671875" style="6"/>
  </cols>
  <sheetData>
    <row r="1" spans="2:7" x14ac:dyDescent="0.25">
      <c r="B1" s="5" t="s">
        <v>16</v>
      </c>
    </row>
    <row r="2" spans="2:7" x14ac:dyDescent="0.25">
      <c r="B2" s="5" t="s">
        <v>46</v>
      </c>
      <c r="C2" s="17">
        <v>2025</v>
      </c>
      <c r="D2" s="17">
        <v>2024</v>
      </c>
      <c r="E2" s="17">
        <v>2023</v>
      </c>
      <c r="F2" s="17">
        <v>2022</v>
      </c>
      <c r="G2" s="17">
        <v>2021</v>
      </c>
    </row>
    <row r="3" spans="2:7" x14ac:dyDescent="0.25">
      <c r="B3" s="5" t="s">
        <v>47</v>
      </c>
      <c r="C3" s="5"/>
      <c r="D3" s="8"/>
      <c r="E3" s="8"/>
      <c r="F3" s="8"/>
      <c r="G3" s="8"/>
    </row>
    <row r="4" spans="2:7" x14ac:dyDescent="0.25">
      <c r="B4" s="5" t="s">
        <v>48</v>
      </c>
      <c r="C4" s="5"/>
      <c r="D4" s="8"/>
      <c r="E4" s="8"/>
      <c r="F4" s="8"/>
      <c r="G4" s="8"/>
    </row>
    <row r="5" spans="2:7" x14ac:dyDescent="0.25">
      <c r="B5" s="8" t="s">
        <v>49</v>
      </c>
      <c r="C5" s="8">
        <v>18311</v>
      </c>
      <c r="D5" s="8">
        <v>17862</v>
      </c>
      <c r="E5" s="8">
        <v>15541</v>
      </c>
      <c r="F5" s="8">
        <v>15321.53</v>
      </c>
      <c r="G5" s="8">
        <v>14926.87</v>
      </c>
    </row>
    <row r="6" spans="2:7" x14ac:dyDescent="0.25">
      <c r="B6" s="8" t="s">
        <v>50</v>
      </c>
      <c r="C6" s="8">
        <v>20203</v>
      </c>
      <c r="D6" s="8">
        <v>14697</v>
      </c>
      <c r="E6" s="8">
        <v>11813</v>
      </c>
      <c r="F6" s="8">
        <v>7721.89</v>
      </c>
      <c r="G6" s="8">
        <v>7521.21</v>
      </c>
    </row>
    <row r="7" spans="2:7" x14ac:dyDescent="0.25">
      <c r="B7" s="8" t="s">
        <v>51</v>
      </c>
      <c r="C7" s="8">
        <v>30</v>
      </c>
      <c r="D7" s="8">
        <v>8</v>
      </c>
      <c r="E7" s="8">
        <v>1937</v>
      </c>
      <c r="F7" s="8">
        <v>127.43</v>
      </c>
      <c r="G7" s="8">
        <v>0</v>
      </c>
    </row>
    <row r="8" spans="2:7" x14ac:dyDescent="0.25">
      <c r="B8" s="8" t="s">
        <v>52</v>
      </c>
      <c r="C8" s="8">
        <v>450</v>
      </c>
      <c r="D8" s="8">
        <v>597</v>
      </c>
      <c r="E8" s="8">
        <v>737</v>
      </c>
      <c r="F8" s="8">
        <f>36.26+183.09</f>
        <v>219.35</v>
      </c>
      <c r="G8" s="8">
        <f>36.01+116.44</f>
        <v>152.44999999999999</v>
      </c>
    </row>
    <row r="9" spans="2:7" x14ac:dyDescent="0.25">
      <c r="B9" s="8" t="s">
        <v>53</v>
      </c>
      <c r="C9" s="8"/>
      <c r="D9" s="8"/>
      <c r="E9" s="8"/>
      <c r="F9" s="8"/>
      <c r="G9" s="8"/>
    </row>
    <row r="10" spans="2:7" x14ac:dyDescent="0.25">
      <c r="B10" s="9" t="s">
        <v>54</v>
      </c>
      <c r="C10" s="9">
        <v>10780</v>
      </c>
      <c r="D10" s="8">
        <v>10459</v>
      </c>
      <c r="E10" s="8">
        <v>6380</v>
      </c>
      <c r="F10" s="8">
        <v>2690.88</v>
      </c>
      <c r="G10" s="8">
        <v>392.41</v>
      </c>
    </row>
    <row r="11" spans="2:7" x14ac:dyDescent="0.25">
      <c r="B11" s="9" t="s">
        <v>55</v>
      </c>
      <c r="C11" s="9">
        <v>1465</v>
      </c>
      <c r="D11" s="8">
        <v>4073</v>
      </c>
      <c r="E11" s="8">
        <v>3667</v>
      </c>
      <c r="F11" s="8">
        <v>3464.63</v>
      </c>
      <c r="G11" s="8">
        <v>1582.32</v>
      </c>
    </row>
    <row r="12" spans="2:7" x14ac:dyDescent="0.25">
      <c r="B12" s="8" t="s">
        <v>56</v>
      </c>
      <c r="C12" s="8">
        <v>554</v>
      </c>
      <c r="D12" s="8">
        <v>1531</v>
      </c>
      <c r="E12" s="8">
        <v>237</v>
      </c>
      <c r="F12" s="8">
        <v>0</v>
      </c>
      <c r="G12" s="8">
        <v>0</v>
      </c>
    </row>
    <row r="13" spans="2:7" x14ac:dyDescent="0.25">
      <c r="B13" s="8" t="s">
        <v>57</v>
      </c>
      <c r="C13" s="8">
        <v>2604</v>
      </c>
      <c r="D13" s="8">
        <v>2542</v>
      </c>
      <c r="E13" s="8">
        <v>2226</v>
      </c>
      <c r="F13" s="8">
        <v>1291.29</v>
      </c>
      <c r="G13" s="8">
        <v>912.29</v>
      </c>
    </row>
    <row r="14" spans="2:7" x14ac:dyDescent="0.25">
      <c r="B14" s="8" t="s">
        <v>58</v>
      </c>
      <c r="C14" s="8">
        <v>864</v>
      </c>
      <c r="D14" s="8">
        <v>1437</v>
      </c>
      <c r="E14" s="8">
        <v>838</v>
      </c>
      <c r="F14" s="8">
        <v>380.44</v>
      </c>
      <c r="G14" s="8">
        <v>247.91</v>
      </c>
    </row>
    <row r="15" spans="2:7" x14ac:dyDescent="0.25">
      <c r="B15" s="5" t="s">
        <v>59</v>
      </c>
      <c r="C15" s="5">
        <f>SUM(C5:C14)</f>
        <v>55261</v>
      </c>
      <c r="D15" s="5">
        <f>SUM(D5:D14)</f>
        <v>53206</v>
      </c>
      <c r="E15" s="5">
        <f t="shared" ref="E15:G15" si="0">SUM(E5:E14)</f>
        <v>43376</v>
      </c>
      <c r="F15" s="5">
        <f t="shared" si="0"/>
        <v>31217.440000000002</v>
      </c>
      <c r="G15" s="5">
        <f t="shared" si="0"/>
        <v>25735.460000000003</v>
      </c>
    </row>
    <row r="17" spans="2:7" x14ac:dyDescent="0.25">
      <c r="B17" s="5" t="s">
        <v>60</v>
      </c>
      <c r="C17" s="5"/>
      <c r="D17" s="8"/>
      <c r="E17" s="8"/>
      <c r="F17" s="8"/>
      <c r="G17" s="8"/>
    </row>
    <row r="18" spans="2:7" x14ac:dyDescent="0.25">
      <c r="B18" s="8" t="s">
        <v>61</v>
      </c>
      <c r="C18" s="8">
        <v>50318</v>
      </c>
      <c r="D18" s="8">
        <v>43462</v>
      </c>
      <c r="E18" s="8">
        <v>46042</v>
      </c>
      <c r="F18" s="8">
        <v>28908.34</v>
      </c>
      <c r="G18" s="8">
        <v>20153.919999999998</v>
      </c>
    </row>
    <row r="19" spans="2:7" x14ac:dyDescent="0.25">
      <c r="B19" s="8" t="s">
        <v>53</v>
      </c>
      <c r="C19" s="8"/>
      <c r="D19" s="8"/>
      <c r="E19" s="8"/>
      <c r="F19" s="8"/>
      <c r="G19" s="8"/>
    </row>
    <row r="20" spans="2:7" x14ac:dyDescent="0.25">
      <c r="B20" s="9" t="s">
        <v>54</v>
      </c>
      <c r="C20" s="9">
        <v>13790</v>
      </c>
      <c r="D20" s="8">
        <v>12073</v>
      </c>
      <c r="E20" s="8">
        <v>17012</v>
      </c>
      <c r="F20" s="8">
        <v>14066.53</v>
      </c>
      <c r="G20" s="8">
        <v>17359.59</v>
      </c>
    </row>
    <row r="21" spans="2:7" x14ac:dyDescent="0.25">
      <c r="B21" s="9" t="s">
        <v>62</v>
      </c>
      <c r="C21" s="9">
        <v>41618</v>
      </c>
      <c r="D21" s="8">
        <v>37008</v>
      </c>
      <c r="E21" s="8">
        <v>38018</v>
      </c>
      <c r="F21" s="8">
        <v>26513.23</v>
      </c>
      <c r="G21" s="8">
        <v>22949.97</v>
      </c>
    </row>
    <row r="22" spans="2:7" x14ac:dyDescent="0.25">
      <c r="B22" s="9" t="s">
        <v>63</v>
      </c>
      <c r="C22" s="9">
        <v>98</v>
      </c>
      <c r="D22" s="8">
        <v>148</v>
      </c>
      <c r="E22" s="8">
        <v>171</v>
      </c>
      <c r="F22" s="8">
        <v>42.48</v>
      </c>
      <c r="G22" s="8">
        <v>44.46</v>
      </c>
    </row>
    <row r="23" spans="2:7" x14ac:dyDescent="0.25">
      <c r="B23" s="9" t="s">
        <v>64</v>
      </c>
      <c r="C23" s="9">
        <v>3449</v>
      </c>
      <c r="D23" s="8">
        <v>672</v>
      </c>
      <c r="E23" s="8">
        <v>1298</v>
      </c>
      <c r="F23" s="8">
        <v>7060.17</v>
      </c>
      <c r="G23" s="8">
        <v>4041.02</v>
      </c>
    </row>
    <row r="24" spans="2:7" x14ac:dyDescent="0.25">
      <c r="B24" s="9" t="s">
        <v>65</v>
      </c>
      <c r="C24" s="9">
        <v>49</v>
      </c>
      <c r="D24" s="8">
        <v>61</v>
      </c>
      <c r="E24" s="8">
        <v>60</v>
      </c>
      <c r="F24" s="8">
        <v>41.78</v>
      </c>
      <c r="G24" s="8">
        <v>43</v>
      </c>
    </row>
    <row r="25" spans="2:7" x14ac:dyDescent="0.25">
      <c r="B25" s="9" t="s">
        <v>55</v>
      </c>
      <c r="C25" s="9">
        <v>2252</v>
      </c>
      <c r="D25" s="8">
        <v>1330</v>
      </c>
      <c r="E25" s="8">
        <v>1280</v>
      </c>
      <c r="F25" s="8">
        <v>367.51</v>
      </c>
      <c r="G25" s="8">
        <v>363.46</v>
      </c>
    </row>
    <row r="26" spans="2:7" x14ac:dyDescent="0.25">
      <c r="B26" s="8" t="s">
        <v>66</v>
      </c>
      <c r="C26" s="8">
        <v>4716</v>
      </c>
      <c r="D26" s="8">
        <v>3647</v>
      </c>
      <c r="E26" s="8">
        <v>2385</v>
      </c>
      <c r="F26" s="8">
        <v>3957.7</v>
      </c>
      <c r="G26" s="8">
        <v>2969.19</v>
      </c>
    </row>
    <row r="27" spans="2:7" x14ac:dyDescent="0.25">
      <c r="B27" s="5" t="s">
        <v>67</v>
      </c>
      <c r="C27" s="5">
        <f>SUM(C18:C26)</f>
        <v>116290</v>
      </c>
      <c r="D27" s="5">
        <f>SUM(D18:D26)</f>
        <v>98401</v>
      </c>
      <c r="E27" s="5">
        <f>SUM(E18:E26)</f>
        <v>106266</v>
      </c>
      <c r="F27" s="5">
        <f>SUM(F18:F26)</f>
        <v>80957.739999999991</v>
      </c>
      <c r="G27" s="5">
        <f>SUM(G18:G26)</f>
        <v>67924.609999999986</v>
      </c>
    </row>
    <row r="28" spans="2:7" x14ac:dyDescent="0.25">
      <c r="B28" s="5" t="s">
        <v>68</v>
      </c>
      <c r="C28" s="5">
        <f>C27+C15</f>
        <v>171551</v>
      </c>
      <c r="D28" s="5">
        <f>D27+D15</f>
        <v>151607</v>
      </c>
      <c r="E28" s="5">
        <f t="shared" ref="E28:G28" si="1">E27+E15</f>
        <v>149642</v>
      </c>
      <c r="F28" s="5">
        <f t="shared" si="1"/>
        <v>112175.18</v>
      </c>
      <c r="G28" s="5">
        <f t="shared" si="1"/>
        <v>93660.069999999992</v>
      </c>
    </row>
    <row r="30" spans="2:7" x14ac:dyDescent="0.25">
      <c r="B30" s="5" t="s">
        <v>69</v>
      </c>
      <c r="C30" s="18"/>
    </row>
    <row r="31" spans="2:7" x14ac:dyDescent="0.25">
      <c r="B31" s="7" t="s">
        <v>70</v>
      </c>
      <c r="C31" s="18"/>
    </row>
    <row r="32" spans="2:7" x14ac:dyDescent="0.25">
      <c r="B32" s="9" t="s">
        <v>71</v>
      </c>
      <c r="C32" s="9">
        <v>2073</v>
      </c>
      <c r="D32" s="8">
        <v>2073</v>
      </c>
      <c r="E32" s="8">
        <v>2073</v>
      </c>
      <c r="F32" s="8">
        <v>2073.21</v>
      </c>
      <c r="G32" s="8">
        <v>2073.21</v>
      </c>
    </row>
    <row r="33" spans="2:7" x14ac:dyDescent="0.25">
      <c r="B33" s="9" t="s">
        <v>72</v>
      </c>
      <c r="C33" s="9">
        <v>81331</v>
      </c>
      <c r="D33" s="8">
        <v>77407</v>
      </c>
      <c r="E33" s="8">
        <v>75567</v>
      </c>
      <c r="F33" s="8">
        <v>66653.240000000005</v>
      </c>
      <c r="G33" s="8">
        <v>58335.8</v>
      </c>
    </row>
    <row r="34" spans="2:7" x14ac:dyDescent="0.25">
      <c r="B34" s="5" t="s">
        <v>73</v>
      </c>
      <c r="C34" s="5">
        <f>+C32+C33</f>
        <v>83404</v>
      </c>
      <c r="D34" s="5">
        <f>+D32+D33</f>
        <v>79480</v>
      </c>
      <c r="E34" s="5">
        <f>+E32+E33</f>
        <v>77640</v>
      </c>
      <c r="F34" s="5">
        <f t="shared" ref="F34:G34" si="2">+F32+F33</f>
        <v>68726.450000000012</v>
      </c>
      <c r="G34" s="5">
        <f t="shared" si="2"/>
        <v>60409.01</v>
      </c>
    </row>
    <row r="36" spans="2:7" x14ac:dyDescent="0.25">
      <c r="B36" s="5" t="s">
        <v>74</v>
      </c>
      <c r="C36" s="18"/>
    </row>
    <row r="37" spans="2:7" x14ac:dyDescent="0.25">
      <c r="B37" s="5" t="s">
        <v>75</v>
      </c>
      <c r="C37" s="5"/>
      <c r="D37" s="8"/>
      <c r="E37" s="8"/>
      <c r="F37" s="8"/>
      <c r="G37" s="8"/>
    </row>
    <row r="38" spans="2:7" x14ac:dyDescent="0.25">
      <c r="B38" s="5" t="s">
        <v>76</v>
      </c>
      <c r="C38" s="5"/>
      <c r="D38" s="8"/>
      <c r="E38" s="8"/>
      <c r="F38" s="8"/>
      <c r="G38" s="8"/>
    </row>
    <row r="39" spans="2:7" x14ac:dyDescent="0.25">
      <c r="B39" s="9" t="s">
        <v>77</v>
      </c>
      <c r="C39" s="9">
        <v>0</v>
      </c>
      <c r="D39" s="8">
        <v>0</v>
      </c>
      <c r="E39" s="8">
        <v>270</v>
      </c>
      <c r="F39" s="8">
        <v>832.51</v>
      </c>
      <c r="G39" s="8">
        <v>1172.69</v>
      </c>
    </row>
    <row r="40" spans="2:7" x14ac:dyDescent="0.25">
      <c r="B40" s="9" t="s">
        <v>78</v>
      </c>
      <c r="C40" s="9">
        <v>17815</v>
      </c>
      <c r="D40" s="8">
        <v>12852</v>
      </c>
      <c r="E40" s="8">
        <v>11118</v>
      </c>
      <c r="F40" s="8">
        <v>7412.97</v>
      </c>
      <c r="G40" s="8">
        <v>7195.32</v>
      </c>
    </row>
    <row r="41" spans="2:7" x14ac:dyDescent="0.25">
      <c r="B41" s="9" t="s">
        <v>79</v>
      </c>
      <c r="C41" s="9">
        <v>4363</v>
      </c>
      <c r="D41" s="8">
        <v>3840</v>
      </c>
      <c r="E41" s="8">
        <v>3079</v>
      </c>
      <c r="F41" s="8">
        <v>2294.8000000000002</v>
      </c>
      <c r="G41" s="8">
        <v>1861.86</v>
      </c>
    </row>
    <row r="42" spans="2:7" x14ac:dyDescent="0.25">
      <c r="B42" s="8" t="s">
        <v>80</v>
      </c>
      <c r="C42" s="8">
        <v>2509</v>
      </c>
      <c r="D42" s="8">
        <v>2883</v>
      </c>
      <c r="E42" s="8">
        <v>3076</v>
      </c>
      <c r="F42" s="8">
        <v>266.77</v>
      </c>
      <c r="G42" s="8">
        <v>103.27</v>
      </c>
    </row>
    <row r="43" spans="2:7" x14ac:dyDescent="0.25">
      <c r="B43" s="8" t="s">
        <v>81</v>
      </c>
      <c r="C43" s="8">
        <v>137</v>
      </c>
      <c r="D43" s="8">
        <v>122</v>
      </c>
      <c r="E43" s="8">
        <v>89</v>
      </c>
      <c r="F43" s="8">
        <v>0</v>
      </c>
      <c r="G43" s="8">
        <v>0</v>
      </c>
    </row>
    <row r="44" spans="2:7" x14ac:dyDescent="0.25">
      <c r="B44" s="5" t="s">
        <v>82</v>
      </c>
      <c r="C44" s="5">
        <f>SUM(C39:C43)</f>
        <v>24824</v>
      </c>
      <c r="D44" s="5">
        <f>SUM(D39:D43)</f>
        <v>19697</v>
      </c>
      <c r="E44" s="5">
        <f>SUM(E39:E43)</f>
        <v>17632</v>
      </c>
      <c r="F44" s="5">
        <f>SUM(F39:F43)</f>
        <v>10807.05</v>
      </c>
      <c r="G44" s="5">
        <f>SUM(G39:G43)</f>
        <v>10333.140000000001</v>
      </c>
    </row>
    <row r="46" spans="2:7" x14ac:dyDescent="0.25">
      <c r="B46" s="7" t="s">
        <v>83</v>
      </c>
      <c r="C46" s="18"/>
    </row>
    <row r="47" spans="2:7" x14ac:dyDescent="0.25">
      <c r="B47" s="5" t="s">
        <v>84</v>
      </c>
      <c r="C47" s="5"/>
      <c r="D47" s="8"/>
      <c r="E47" s="8"/>
      <c r="F47" s="8"/>
      <c r="G47" s="8"/>
    </row>
    <row r="48" spans="2:7" x14ac:dyDescent="0.25">
      <c r="B48" s="9" t="s">
        <v>85</v>
      </c>
      <c r="C48" s="9">
        <v>28693</v>
      </c>
      <c r="D48" s="8">
        <v>21699</v>
      </c>
      <c r="E48" s="8">
        <v>19929</v>
      </c>
      <c r="F48" s="8">
        <v>6009.89</v>
      </c>
      <c r="G48" s="8">
        <v>2308.08</v>
      </c>
    </row>
    <row r="49" spans="2:14" x14ac:dyDescent="0.25">
      <c r="B49" s="9" t="s">
        <v>78</v>
      </c>
      <c r="C49" s="9">
        <v>4933</v>
      </c>
      <c r="D49" s="8">
        <v>3646</v>
      </c>
      <c r="E49" s="8">
        <v>1827</v>
      </c>
      <c r="F49" s="8">
        <v>1314.66</v>
      </c>
      <c r="G49" s="8">
        <v>1157.01</v>
      </c>
    </row>
    <row r="50" spans="2:14" x14ac:dyDescent="0.25">
      <c r="B50" s="9" t="s">
        <v>86</v>
      </c>
      <c r="C50" s="9">
        <f>3461+8716</f>
        <v>12177</v>
      </c>
      <c r="D50" s="8">
        <f>3428+10720</f>
        <v>14148</v>
      </c>
      <c r="E50" s="8">
        <f>84+19315</f>
        <v>19399</v>
      </c>
      <c r="F50" s="8">
        <f>23.68+14748.26</f>
        <v>14771.94</v>
      </c>
      <c r="G50" s="8">
        <f>147.62+13724.07</f>
        <v>13871.69</v>
      </c>
    </row>
    <row r="51" spans="2:14" x14ac:dyDescent="0.25">
      <c r="B51" s="9" t="s">
        <v>79</v>
      </c>
      <c r="C51" s="9">
        <v>1647</v>
      </c>
      <c r="D51" s="8">
        <v>1492</v>
      </c>
      <c r="E51" s="8">
        <v>1822</v>
      </c>
      <c r="F51" s="8">
        <v>7247.92</v>
      </c>
      <c r="G51" s="8">
        <v>4273.82</v>
      </c>
    </row>
    <row r="52" spans="2:14" x14ac:dyDescent="0.25">
      <c r="B52" s="9" t="s">
        <v>88</v>
      </c>
      <c r="C52" s="9">
        <v>14773</v>
      </c>
      <c r="D52" s="8">
        <v>10488</v>
      </c>
      <c r="E52" s="8">
        <v>9333</v>
      </c>
      <c r="F52" s="8">
        <v>1454.1</v>
      </c>
      <c r="G52" s="8">
        <v>1157.18</v>
      </c>
    </row>
    <row r="53" spans="2:14" x14ac:dyDescent="0.25">
      <c r="B53" s="9" t="s">
        <v>89</v>
      </c>
      <c r="C53" s="9">
        <v>6</v>
      </c>
      <c r="D53" s="8">
        <v>0</v>
      </c>
      <c r="E53" s="8">
        <v>1037</v>
      </c>
      <c r="F53" s="8">
        <v>1177.1099999999999</v>
      </c>
      <c r="G53" s="8">
        <v>61.76</v>
      </c>
    </row>
    <row r="54" spans="2:14" x14ac:dyDescent="0.25">
      <c r="B54" s="9" t="s">
        <v>81</v>
      </c>
      <c r="C54" s="6">
        <v>1094</v>
      </c>
      <c r="D54" s="8">
        <v>957</v>
      </c>
      <c r="E54" s="8">
        <v>1023</v>
      </c>
      <c r="F54" s="8">
        <v>666.06</v>
      </c>
      <c r="G54" s="8">
        <v>88.38</v>
      </c>
    </row>
    <row r="55" spans="2:14" x14ac:dyDescent="0.25">
      <c r="B55" s="5" t="s">
        <v>87</v>
      </c>
      <c r="C55" s="5">
        <f>SUM(C48:C54)</f>
        <v>63323</v>
      </c>
      <c r="D55" s="5">
        <f>SUM(D48:D54)</f>
        <v>52430</v>
      </c>
      <c r="E55" s="5">
        <f t="shared" ref="E55:G55" si="3">SUM(E48:E54)</f>
        <v>54370</v>
      </c>
      <c r="F55" s="5">
        <f t="shared" si="3"/>
        <v>32641.680000000004</v>
      </c>
      <c r="G55" s="5">
        <f t="shared" si="3"/>
        <v>22917.919999999998</v>
      </c>
    </row>
    <row r="56" spans="2:14" x14ac:dyDescent="0.25">
      <c r="B56" s="5" t="s">
        <v>90</v>
      </c>
      <c r="C56" s="5">
        <f>C44+C55+C34</f>
        <v>171551</v>
      </c>
      <c r="D56" s="5">
        <f>D44+D55+D34</f>
        <v>151607</v>
      </c>
      <c r="E56" s="5">
        <f>E44+E55+E34</f>
        <v>149642</v>
      </c>
      <c r="F56" s="5">
        <f>F44+F55+F34</f>
        <v>112175.18000000002</v>
      </c>
      <c r="G56" s="5">
        <f>G44+G55+G34</f>
        <v>93660.07</v>
      </c>
    </row>
    <row r="58" spans="2:14" x14ac:dyDescent="0.25">
      <c r="C58" s="6">
        <f>C56-C28</f>
        <v>0</v>
      </c>
      <c r="D58" s="6">
        <f>D56-D28</f>
        <v>0</v>
      </c>
      <c r="E58" s="6">
        <f>E56-E28</f>
        <v>0</v>
      </c>
      <c r="F58" s="6">
        <f>F56-F28</f>
        <v>0</v>
      </c>
      <c r="G58" s="6">
        <f>G56-G28</f>
        <v>0</v>
      </c>
    </row>
    <row r="60" spans="2:14" ht="14.4" x14ac:dyDescent="0.3">
      <c r="B60" s="5" t="s">
        <v>91</v>
      </c>
      <c r="C60" s="14">
        <f>+C61/C62</f>
        <v>0.16438874263042752</v>
      </c>
      <c r="D60" s="14">
        <f t="shared" ref="D60:G60" si="4">+D61/D62</f>
        <v>0.14392787035699414</v>
      </c>
      <c r="E60" s="14">
        <f t="shared" si="4"/>
        <v>0.21522060947429231</v>
      </c>
      <c r="F60" s="14">
        <f t="shared" si="4"/>
        <v>0.24368633186106944</v>
      </c>
      <c r="G60" s="14">
        <f t="shared" si="4"/>
        <v>0.18788404712985271</v>
      </c>
      <c r="I60"/>
      <c r="J60"/>
      <c r="K60"/>
      <c r="L60"/>
      <c r="M60"/>
      <c r="N60"/>
    </row>
    <row r="61" spans="2:14" ht="14.4" x14ac:dyDescent="0.3">
      <c r="B61" s="8" t="s">
        <v>92</v>
      </c>
      <c r="C61" s="8">
        <f>+'Income Statement'!G7-SUM('Income Statement'!G9:G12)-SUM('Income Statement'!G15)</f>
        <v>22167</v>
      </c>
      <c r="D61" s="8">
        <f>+'Income Statement'!F7-SUM('Income Statement'!F9:F12)-SUM('Income Statement'!F15)</f>
        <v>16937</v>
      </c>
      <c r="E61" s="8">
        <f>+'Income Statement'!E7-SUM('Income Statement'!E9:E12)-SUM('Income Statement'!E15)</f>
        <v>23843</v>
      </c>
      <c r="F61" s="8">
        <f>+'Income Statement'!D7-SUM('Income Statement'!D9:D12)-SUM('Income Statement'!D15)</f>
        <v>20541.900000000005</v>
      </c>
      <c r="G61" s="8">
        <f>+'Income Statement'!C7-SUM('Income Statement'!C9:C12)-SUM('Income Statement'!C15)</f>
        <v>13573.140000000005</v>
      </c>
      <c r="I61"/>
      <c r="J61"/>
      <c r="K61"/>
      <c r="L61"/>
      <c r="M61"/>
      <c r="N61"/>
    </row>
    <row r="62" spans="2:14" ht="14.4" x14ac:dyDescent="0.3">
      <c r="B62" s="8" t="s">
        <v>93</v>
      </c>
      <c r="C62" s="8">
        <f>+C34+C40+C39+C48+C49</f>
        <v>134845</v>
      </c>
      <c r="D62" s="8">
        <f t="shared" ref="D62:G62" si="5">+D34+D40+D39+D48+D49</f>
        <v>117677</v>
      </c>
      <c r="E62" s="8">
        <f t="shared" si="5"/>
        <v>110784</v>
      </c>
      <c r="F62" s="8">
        <f t="shared" si="5"/>
        <v>84296.48000000001</v>
      </c>
      <c r="G62" s="8">
        <f t="shared" si="5"/>
        <v>72242.11</v>
      </c>
      <c r="I62"/>
      <c r="J62"/>
      <c r="K62"/>
      <c r="L62"/>
      <c r="M62"/>
      <c r="N62"/>
    </row>
    <row r="64" spans="2:14" ht="14.4" x14ac:dyDescent="0.3">
      <c r="B64" s="5" t="s">
        <v>94</v>
      </c>
      <c r="C64" s="14">
        <f>C65/C66</f>
        <v>9.732147139225937E-2</v>
      </c>
      <c r="D64" s="14">
        <f t="shared" ref="D64:G64" si="6">D65/D66</f>
        <v>7.5415198792148974E-2</v>
      </c>
      <c r="E64" s="14">
        <f t="shared" si="6"/>
        <v>0.17068521380731583</v>
      </c>
      <c r="F64" s="14">
        <f t="shared" si="6"/>
        <v>0.16579090001011251</v>
      </c>
      <c r="G64" s="14">
        <f t="shared" si="6"/>
        <v>0.10974488739345351</v>
      </c>
      <c r="J64"/>
      <c r="K64"/>
      <c r="L64"/>
      <c r="M64"/>
      <c r="N64"/>
    </row>
    <row r="65" spans="2:14" ht="14.4" x14ac:dyDescent="0.3">
      <c r="B65" s="8" t="s">
        <v>95</v>
      </c>
      <c r="C65" s="8">
        <f>+'Income Statement'!G23</f>
        <v>8117</v>
      </c>
      <c r="D65" s="8">
        <f>+'Income Statement'!F23</f>
        <v>5994</v>
      </c>
      <c r="E65" s="8">
        <f>+'Income Statement'!E23</f>
        <v>13252</v>
      </c>
      <c r="F65" s="8">
        <f>+'Income Statement'!D23</f>
        <v>11394.22</v>
      </c>
      <c r="G65" s="8">
        <f>+'Income Statement'!C23</f>
        <v>6629.5800000000072</v>
      </c>
      <c r="J65"/>
      <c r="K65"/>
      <c r="L65"/>
      <c r="M65"/>
      <c r="N65"/>
    </row>
    <row r="66" spans="2:14" ht="14.4" x14ac:dyDescent="0.3">
      <c r="B66" s="8" t="s">
        <v>96</v>
      </c>
      <c r="C66" s="8">
        <f>+C34</f>
        <v>83404</v>
      </c>
      <c r="D66" s="8">
        <f t="shared" ref="D66:G66" si="7">+D34</f>
        <v>79480</v>
      </c>
      <c r="E66" s="8">
        <f t="shared" si="7"/>
        <v>77640</v>
      </c>
      <c r="F66" s="8">
        <f t="shared" si="7"/>
        <v>68726.450000000012</v>
      </c>
      <c r="G66" s="8">
        <f t="shared" si="7"/>
        <v>60409.01</v>
      </c>
      <c r="J66"/>
      <c r="K66"/>
      <c r="L66"/>
      <c r="M66"/>
      <c r="N66"/>
    </row>
  </sheetData>
  <pageMargins left="0.7" right="0.7" top="0.75" bottom="0.75" header="0.3" footer="0.3"/>
  <pageSetup scale="99" orientation="portrait" r:id="rId1"/>
  <ignoredErrors>
    <ignoredError sqref="C6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AC83-067D-4B38-9033-E6E89091A89E}">
  <dimension ref="B2:I36"/>
  <sheetViews>
    <sheetView topLeftCell="A17" workbookViewId="0">
      <selection activeCell="F3" sqref="F3"/>
    </sheetView>
  </sheetViews>
  <sheetFormatPr defaultRowHeight="13.8" x14ac:dyDescent="0.25"/>
  <cols>
    <col min="1" max="1" width="8.88671875" style="6"/>
    <col min="2" max="2" width="19.77734375" style="6" bestFit="1" customWidth="1"/>
    <col min="3" max="3" width="13.77734375" style="6" bestFit="1" customWidth="1"/>
    <col min="4" max="4" width="18.6640625" style="6" bestFit="1" customWidth="1"/>
    <col min="5" max="5" width="16.33203125" style="6" bestFit="1" customWidth="1"/>
    <col min="6" max="6" width="20.44140625" style="6" bestFit="1" customWidth="1"/>
    <col min="7" max="7" width="10.44140625" style="6" bestFit="1" customWidth="1"/>
    <col min="8" max="8" width="8.88671875" style="6"/>
    <col min="9" max="9" width="9.44140625" style="6" bestFit="1" customWidth="1"/>
    <col min="10" max="16384" width="8.88671875" style="6"/>
  </cols>
  <sheetData>
    <row r="2" spans="2:9" x14ac:dyDescent="0.25">
      <c r="B2" s="5" t="s">
        <v>106</v>
      </c>
      <c r="C2" s="5" t="s">
        <v>122</v>
      </c>
      <c r="D2" s="14">
        <v>0.12</v>
      </c>
      <c r="E2" s="5" t="s">
        <v>123</v>
      </c>
      <c r="F2" s="14">
        <v>0.01</v>
      </c>
    </row>
    <row r="3" spans="2:9" x14ac:dyDescent="0.25">
      <c r="B3" s="5" t="s">
        <v>97</v>
      </c>
      <c r="C3" s="25">
        <v>2025</v>
      </c>
      <c r="D3" s="25">
        <v>2024</v>
      </c>
      <c r="E3" s="25">
        <v>2023</v>
      </c>
      <c r="F3" s="25">
        <v>2022</v>
      </c>
      <c r="G3" s="25">
        <v>2021</v>
      </c>
    </row>
    <row r="4" spans="2:9" x14ac:dyDescent="0.25">
      <c r="B4" s="5" t="s">
        <v>27</v>
      </c>
      <c r="C4" s="8">
        <v>11391</v>
      </c>
      <c r="D4" s="8">
        <v>8067</v>
      </c>
      <c r="E4" s="8">
        <v>17221</v>
      </c>
      <c r="F4" s="8">
        <v>15248.15</v>
      </c>
      <c r="G4" s="8">
        <v>8802.07</v>
      </c>
    </row>
    <row r="5" spans="2:9" x14ac:dyDescent="0.25">
      <c r="B5" s="8" t="s">
        <v>98</v>
      </c>
      <c r="C5" s="8">
        <f>6017+4759-1935-2-29+12-29-257-120-957+36</f>
        <v>7495</v>
      </c>
      <c r="D5" s="8">
        <f>5122+3748-1563-130-20+313-875+2</f>
        <v>6597</v>
      </c>
      <c r="E5" s="8">
        <f>4177+2445-1185-12-2+500-193-556+21</f>
        <v>5195</v>
      </c>
      <c r="F5" s="8">
        <f>3725.29+1568.47-607.78-138.4+183.75-29.16-384.61-203.61-674.04+29.37</f>
        <v>3469.2800000000016</v>
      </c>
      <c r="G5" s="8">
        <f>3420.03+1351.04-607.82+3.36+8.04-30.56-548.03-26.48-529.69+271.02+168.46+20.78</f>
        <v>3500.1499999999996</v>
      </c>
    </row>
    <row r="6" spans="2:9" ht="27.6" x14ac:dyDescent="0.25">
      <c r="B6" s="24" t="s">
        <v>99</v>
      </c>
      <c r="C6" s="5">
        <f>C4+C5</f>
        <v>18886</v>
      </c>
      <c r="D6" s="5">
        <f>D4+D5</f>
        <v>14664</v>
      </c>
      <c r="E6" s="5">
        <f>E4+E5</f>
        <v>22416</v>
      </c>
      <c r="F6" s="5">
        <f>F4+F5</f>
        <v>18717.43</v>
      </c>
      <c r="G6" s="5">
        <f>G4+G5</f>
        <v>12302.22</v>
      </c>
    </row>
    <row r="7" spans="2:9" x14ac:dyDescent="0.25">
      <c r="B7" s="8" t="s">
        <v>100</v>
      </c>
      <c r="C7" s="8">
        <f>-4368-6856-1973+152-699+4476</f>
        <v>-9268</v>
      </c>
      <c r="D7" s="8">
        <f>826+2580-5250-33-1520+1597</f>
        <v>-1800</v>
      </c>
      <c r="E7" s="8">
        <f>-12349-17134+5535+446+46+5479</f>
        <v>-17977</v>
      </c>
      <c r="F7" s="8">
        <f>-3592.63-8754.42+900.27-1147.07+3482.73+577.67</f>
        <v>-8533.4499999999989</v>
      </c>
      <c r="G7" s="8">
        <f>1974.96+1464.28-2864.38-22.69-269.86+68.76</f>
        <v>351.0699999999996</v>
      </c>
    </row>
    <row r="8" spans="2:9" x14ac:dyDescent="0.25">
      <c r="B8" s="8" t="s">
        <v>101</v>
      </c>
      <c r="C8" s="8">
        <f>C6+C7</f>
        <v>9618</v>
      </c>
      <c r="D8" s="8">
        <f>D6+D7</f>
        <v>12864</v>
      </c>
      <c r="E8" s="8">
        <f>E6+E7</f>
        <v>4439</v>
      </c>
      <c r="F8" s="8">
        <f>F6+F7</f>
        <v>10183.980000000001</v>
      </c>
      <c r="G8" s="8">
        <f>G6+G7</f>
        <v>12653.289999999999</v>
      </c>
    </row>
    <row r="9" spans="2:9" x14ac:dyDescent="0.25">
      <c r="B9" s="8" t="s">
        <v>102</v>
      </c>
      <c r="C9" s="8">
        <v>-2337</v>
      </c>
      <c r="D9" s="8">
        <v>-4718</v>
      </c>
      <c r="E9" s="8">
        <v>-4968</v>
      </c>
      <c r="F9" s="8">
        <v>-3128.68</v>
      </c>
      <c r="G9" s="8">
        <v>-1442.38</v>
      </c>
    </row>
    <row r="10" spans="2:9" ht="27.6" x14ac:dyDescent="0.25">
      <c r="B10" s="24" t="s">
        <v>103</v>
      </c>
      <c r="C10" s="5">
        <f>C8+C9</f>
        <v>7281</v>
      </c>
      <c r="D10" s="5">
        <f>D8+D9</f>
        <v>8146</v>
      </c>
      <c r="E10" s="5">
        <f>E8+E9</f>
        <v>-529</v>
      </c>
      <c r="F10" s="5">
        <f>F8+F9</f>
        <v>7055.3000000000011</v>
      </c>
      <c r="G10" s="5">
        <f>G8+G9</f>
        <v>11210.91</v>
      </c>
    </row>
    <row r="11" spans="2:9" x14ac:dyDescent="0.25">
      <c r="B11" s="8" t="s">
        <v>104</v>
      </c>
      <c r="C11" s="8">
        <v>3806</v>
      </c>
      <c r="D11" s="8">
        <v>3477</v>
      </c>
      <c r="E11" s="8">
        <v>5330</v>
      </c>
      <c r="F11" s="8">
        <v>2508.0700000000002</v>
      </c>
      <c r="G11" s="8">
        <v>1732.72</v>
      </c>
    </row>
    <row r="12" spans="2:9" x14ac:dyDescent="0.25">
      <c r="B12" s="5" t="s">
        <v>105</v>
      </c>
      <c r="C12" s="5">
        <f>+C10-C11</f>
        <v>3475</v>
      </c>
      <c r="D12" s="5">
        <f>+D10-D11</f>
        <v>4669</v>
      </c>
      <c r="E12" s="5">
        <f>+E10-E11</f>
        <v>-5859</v>
      </c>
      <c r="F12" s="5">
        <f t="shared" ref="F12:G12" si="0">+F10-F11</f>
        <v>4547.2300000000014</v>
      </c>
      <c r="G12" s="5">
        <f t="shared" si="0"/>
        <v>9478.19</v>
      </c>
      <c r="I12" s="5">
        <f>AVERAGE(C12:G12)</f>
        <v>3262.0840000000003</v>
      </c>
    </row>
    <row r="14" spans="2:9" x14ac:dyDescent="0.25">
      <c r="B14" s="5" t="s">
        <v>107</v>
      </c>
      <c r="C14" s="14">
        <f>(C12-D12)/D12</f>
        <v>-0.25572927821803382</v>
      </c>
      <c r="D14" s="14">
        <f>(D12-E12)/-E12</f>
        <v>1.7968936678614098</v>
      </c>
      <c r="E14" s="14">
        <f t="shared" ref="D14:G14" si="1">(E12-F12)/F12</f>
        <v>-2.2884767209927799</v>
      </c>
      <c r="F14" s="14">
        <f t="shared" si="1"/>
        <v>-0.52024278897131193</v>
      </c>
      <c r="G14" s="5">
        <v>0</v>
      </c>
    </row>
    <row r="16" spans="2:9" x14ac:dyDescent="0.25">
      <c r="B16" s="5" t="s">
        <v>108</v>
      </c>
    </row>
    <row r="17" spans="2:6" x14ac:dyDescent="0.25">
      <c r="B17" s="23" t="s">
        <v>109</v>
      </c>
      <c r="C17" s="23" t="s">
        <v>110</v>
      </c>
      <c r="D17" s="5" t="s">
        <v>111</v>
      </c>
      <c r="E17" s="23" t="s">
        <v>112</v>
      </c>
      <c r="F17" s="23" t="s">
        <v>113</v>
      </c>
    </row>
    <row r="18" spans="2:6" x14ac:dyDescent="0.25">
      <c r="B18" s="26">
        <v>1</v>
      </c>
      <c r="C18" s="8">
        <f>+I12</f>
        <v>3262.0840000000003</v>
      </c>
      <c r="D18" s="8">
        <f>+C18*$D$2</f>
        <v>391.45008000000001</v>
      </c>
      <c r="E18" s="8">
        <f>(1+0.1)^B18</f>
        <v>1.1000000000000001</v>
      </c>
      <c r="F18" s="27">
        <f>+(C18+D18)/E18</f>
        <v>3321.3946181818183</v>
      </c>
    </row>
    <row r="19" spans="2:6" x14ac:dyDescent="0.25">
      <c r="B19" s="26">
        <f t="shared" ref="B19:B27" si="2">+B18+1</f>
        <v>2</v>
      </c>
      <c r="C19" s="8">
        <f t="shared" ref="C19:C27" si="3">+C18+D18</f>
        <v>3653.5340800000004</v>
      </c>
      <c r="D19" s="8">
        <f t="shared" ref="D19:D27" si="4">+C19*$D$2</f>
        <v>438.4240896</v>
      </c>
      <c r="E19" s="8">
        <f t="shared" ref="E19:E27" si="5">(1+0.1)^B19</f>
        <v>1.2100000000000002</v>
      </c>
      <c r="F19" s="27">
        <f t="shared" ref="F19:F27" si="6">+(C19+D19)/E19</f>
        <v>3381.7836112396694</v>
      </c>
    </row>
    <row r="20" spans="2:6" x14ac:dyDescent="0.25">
      <c r="B20" s="26">
        <f t="shared" si="2"/>
        <v>3</v>
      </c>
      <c r="C20" s="8">
        <f t="shared" si="3"/>
        <v>4091.9581696000005</v>
      </c>
      <c r="D20" s="8">
        <f t="shared" si="4"/>
        <v>491.03498035200005</v>
      </c>
      <c r="E20" s="8">
        <f t="shared" si="5"/>
        <v>1.3310000000000004</v>
      </c>
      <c r="F20" s="27">
        <f t="shared" si="6"/>
        <v>3443.2705859894813</v>
      </c>
    </row>
    <row r="21" spans="2:6" x14ac:dyDescent="0.25">
      <c r="B21" s="26">
        <f t="shared" si="2"/>
        <v>4</v>
      </c>
      <c r="C21" s="8">
        <f t="shared" si="3"/>
        <v>4582.9931499520007</v>
      </c>
      <c r="D21" s="8">
        <f t="shared" si="4"/>
        <v>549.95917799424012</v>
      </c>
      <c r="E21" s="8">
        <f t="shared" si="5"/>
        <v>1.4641000000000004</v>
      </c>
      <c r="F21" s="27">
        <f t="shared" si="6"/>
        <v>3505.8755057347448</v>
      </c>
    </row>
    <row r="22" spans="2:6" x14ac:dyDescent="0.25">
      <c r="B22" s="26">
        <f t="shared" si="2"/>
        <v>5</v>
      </c>
      <c r="C22" s="8">
        <f t="shared" si="3"/>
        <v>5132.952327946241</v>
      </c>
      <c r="D22" s="8">
        <f t="shared" si="4"/>
        <v>615.95427935354894</v>
      </c>
      <c r="E22" s="8">
        <f t="shared" si="5"/>
        <v>1.6105100000000006</v>
      </c>
      <c r="F22" s="27">
        <f t="shared" si="6"/>
        <v>3569.6186967481035</v>
      </c>
    </row>
    <row r="23" spans="2:6" x14ac:dyDescent="0.25">
      <c r="B23" s="26">
        <f t="shared" si="2"/>
        <v>6</v>
      </c>
      <c r="C23" s="8">
        <f t="shared" si="3"/>
        <v>5748.9066072997903</v>
      </c>
      <c r="D23" s="8">
        <f t="shared" si="4"/>
        <v>689.8687928759748</v>
      </c>
      <c r="E23" s="8">
        <f t="shared" si="5"/>
        <v>1.7715610000000008</v>
      </c>
      <c r="F23" s="27">
        <f t="shared" si="6"/>
        <v>3634.5208548707956</v>
      </c>
    </row>
    <row r="24" spans="2:6" x14ac:dyDescent="0.25">
      <c r="B24" s="26">
        <f t="shared" si="2"/>
        <v>7</v>
      </c>
      <c r="C24" s="8">
        <f t="shared" si="3"/>
        <v>6438.7754001757648</v>
      </c>
      <c r="D24" s="8">
        <f t="shared" si="4"/>
        <v>772.65304802109176</v>
      </c>
      <c r="E24" s="8">
        <f t="shared" si="5"/>
        <v>1.9487171000000012</v>
      </c>
      <c r="F24" s="27">
        <f t="shared" si="6"/>
        <v>3700.6030522320825</v>
      </c>
    </row>
    <row r="25" spans="2:6" x14ac:dyDescent="0.25">
      <c r="B25" s="26">
        <f t="shared" si="2"/>
        <v>8</v>
      </c>
      <c r="C25" s="8">
        <f t="shared" si="3"/>
        <v>7211.4284481968571</v>
      </c>
      <c r="D25" s="8">
        <f t="shared" si="4"/>
        <v>865.37141378362287</v>
      </c>
      <c r="E25" s="8">
        <f t="shared" si="5"/>
        <v>2.1435888100000011</v>
      </c>
      <c r="F25" s="27">
        <f t="shared" si="6"/>
        <v>3767.8867440908484</v>
      </c>
    </row>
    <row r="26" spans="2:6" x14ac:dyDescent="0.25">
      <c r="B26" s="26">
        <f t="shared" si="2"/>
        <v>9</v>
      </c>
      <c r="C26" s="8">
        <f t="shared" si="3"/>
        <v>8076.7998619804803</v>
      </c>
      <c r="D26" s="8">
        <f t="shared" si="4"/>
        <v>969.21598343765754</v>
      </c>
      <c r="E26" s="8">
        <f t="shared" si="5"/>
        <v>2.3579476910000015</v>
      </c>
      <c r="F26" s="27">
        <f t="shared" si="6"/>
        <v>3836.3937758015909</v>
      </c>
    </row>
    <row r="27" spans="2:6" x14ac:dyDescent="0.25">
      <c r="B27" s="26">
        <f t="shared" si="2"/>
        <v>10</v>
      </c>
      <c r="C27" s="8">
        <f t="shared" si="3"/>
        <v>9046.0158454181383</v>
      </c>
      <c r="D27" s="8">
        <f t="shared" si="4"/>
        <v>1085.5219014501765</v>
      </c>
      <c r="E27" s="8">
        <f t="shared" si="5"/>
        <v>2.5937424601000019</v>
      </c>
      <c r="F27" s="27">
        <f t="shared" si="6"/>
        <v>3906.1463899070736</v>
      </c>
    </row>
    <row r="29" spans="2:6" ht="27.6" x14ac:dyDescent="0.25">
      <c r="D29" s="28" t="s">
        <v>114</v>
      </c>
      <c r="E29" s="5">
        <f>+C27*1.1</f>
        <v>9950.6174299599534</v>
      </c>
    </row>
    <row r="30" spans="2:6" x14ac:dyDescent="0.25">
      <c r="D30" s="23" t="s">
        <v>115</v>
      </c>
      <c r="E30" s="5">
        <f>+E29*(1+F2)/(D2-F2)</f>
        <v>91364.760038723209</v>
      </c>
    </row>
    <row r="31" spans="2:6" x14ac:dyDescent="0.25">
      <c r="D31" s="23" t="s">
        <v>116</v>
      </c>
      <c r="E31" s="29">
        <f>+SUM(F18:F27)</f>
        <v>36067.493834796209</v>
      </c>
    </row>
    <row r="32" spans="2:6" x14ac:dyDescent="0.25">
      <c r="D32" s="23" t="s">
        <v>117</v>
      </c>
      <c r="E32" s="29">
        <f>+E30+E31</f>
        <v>127432.25387351942</v>
      </c>
    </row>
    <row r="33" spans="4:5" x14ac:dyDescent="0.25">
      <c r="D33" s="23" t="s">
        <v>118</v>
      </c>
      <c r="E33" s="29">
        <f>'Income Statement'!C25</f>
        <v>207.30393996247676</v>
      </c>
    </row>
    <row r="34" spans="4:5" x14ac:dyDescent="0.25">
      <c r="D34" s="23" t="s">
        <v>119</v>
      </c>
      <c r="E34" s="29">
        <f>+E32/E33</f>
        <v>614.71216560855248</v>
      </c>
    </row>
    <row r="35" spans="4:5" x14ac:dyDescent="0.25">
      <c r="D35" s="23" t="s">
        <v>120</v>
      </c>
      <c r="E35" s="29">
        <f>Main!C5</f>
        <v>612</v>
      </c>
    </row>
    <row r="36" spans="4:5" x14ac:dyDescent="0.25">
      <c r="D36" s="23" t="s">
        <v>121</v>
      </c>
      <c r="E36" s="30">
        <f>+(E34-E35)/E34</f>
        <v>4.41209034128598E-3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Income Statement</vt:lpstr>
      <vt:lpstr>Balance sheet</vt:lpstr>
      <vt:lpstr>DCF</vt:lpstr>
      <vt:lpstr>'Balance sheet'!Print_Area</vt:lpstr>
      <vt:lpstr>'Income Statement'!Print_Area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 Sejpal</cp:lastModifiedBy>
  <cp:lastPrinted>2025-06-15T08:31:31Z</cp:lastPrinted>
  <dcterms:created xsi:type="dcterms:W3CDTF">2015-06-05T18:17:20Z</dcterms:created>
  <dcterms:modified xsi:type="dcterms:W3CDTF">2025-06-15T13:03:34Z</dcterms:modified>
</cp:coreProperties>
</file>