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investing\Analysis\Indus Towers\"/>
    </mc:Choice>
  </mc:AlternateContent>
  <xr:revisionPtr revIDLastSave="0" documentId="13_ncr:1_{852EE6AA-594F-40C8-92FB-D6872315EA7A}" xr6:coauthVersionLast="47" xr6:coauthVersionMax="47" xr10:uidLastSave="{00000000-0000-0000-0000-000000000000}"/>
  <bookViews>
    <workbookView xWindow="-108" yWindow="-108" windowWidth="23256" windowHeight="12456" activeTab="4" xr2:uid="{00000000-000D-0000-FFFF-FFFF00000000}"/>
  </bookViews>
  <sheets>
    <sheet name="Main" sheetId="1" r:id="rId1"/>
    <sheet name="Income Statement" sheetId="2" r:id="rId2"/>
    <sheet name="Balance sheet" sheetId="3" r:id="rId3"/>
    <sheet name="Cash Flow " sheetId="4" r:id="rId4"/>
    <sheet name="Birds Equation" sheetId="6" r:id="rId5"/>
    <sheet name="Trash" sheetId="5" r:id="rId6"/>
  </sheets>
  <definedNames>
    <definedName name="_xlnm.Print_Area" localSheetId="1">'Income Statement'!$A$1:$AG$67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7" i="6" l="1"/>
  <c r="D70" i="2"/>
  <c r="B57" i="6"/>
  <c r="B56" i="6"/>
  <c r="B55" i="6"/>
  <c r="C43" i="4"/>
  <c r="F42" i="4"/>
  <c r="E42" i="4"/>
  <c r="D42" i="4"/>
  <c r="C42" i="4"/>
  <c r="C37" i="6"/>
  <c r="F37" i="6" s="1"/>
  <c r="B38" i="6"/>
  <c r="B39" i="6" s="1"/>
  <c r="B40" i="6" s="1"/>
  <c r="B41" i="6" s="1"/>
  <c r="B42" i="6" s="1"/>
  <c r="B43" i="6" s="1"/>
  <c r="B44" i="6" s="1"/>
  <c r="B45" i="6" s="1"/>
  <c r="B46" i="6" s="1"/>
  <c r="F19" i="6"/>
  <c r="D19" i="6"/>
  <c r="H19" i="6" s="1"/>
  <c r="C20" i="6" s="1"/>
  <c r="F20" i="6" s="1"/>
  <c r="G36" i="4"/>
  <c r="G27" i="4"/>
  <c r="G25" i="4"/>
  <c r="G33" i="4" s="1"/>
  <c r="G20" i="4"/>
  <c r="G18" i="4"/>
  <c r="G17" i="4"/>
  <c r="G22" i="4" s="1"/>
  <c r="G11" i="4"/>
  <c r="G8" i="4"/>
  <c r="G9" i="4" s="1"/>
  <c r="F25" i="4"/>
  <c r="F20" i="4"/>
  <c r="F18" i="4"/>
  <c r="F17" i="4"/>
  <c r="F22" i="4" s="1"/>
  <c r="F11" i="4"/>
  <c r="F8" i="4"/>
  <c r="F9" i="4" s="1"/>
  <c r="E25" i="4"/>
  <c r="E33" i="4" s="1"/>
  <c r="E20" i="4"/>
  <c r="E18" i="4"/>
  <c r="E17" i="4"/>
  <c r="E11" i="4"/>
  <c r="E8" i="4"/>
  <c r="E9" i="4" s="1"/>
  <c r="E12" i="4" s="1"/>
  <c r="E14" i="4" s="1"/>
  <c r="D31" i="4"/>
  <c r="D25" i="4"/>
  <c r="D18" i="4"/>
  <c r="D19" i="4"/>
  <c r="D17" i="4"/>
  <c r="D22" i="4" s="1"/>
  <c r="D11" i="4"/>
  <c r="D8" i="4"/>
  <c r="D9" i="4" s="1"/>
  <c r="D12" i="4" s="1"/>
  <c r="D14" i="4" s="1"/>
  <c r="F33" i="4"/>
  <c r="C30" i="4"/>
  <c r="C29" i="4"/>
  <c r="C25" i="4"/>
  <c r="C19" i="4"/>
  <c r="C18" i="4"/>
  <c r="C17" i="4"/>
  <c r="C11" i="4"/>
  <c r="C8" i="4"/>
  <c r="C9" i="4" s="1"/>
  <c r="C12" i="4" s="1"/>
  <c r="C14" i="4" s="1"/>
  <c r="H46" i="3"/>
  <c r="G47" i="3"/>
  <c r="G52" i="3" s="1"/>
  <c r="F47" i="3"/>
  <c r="F52" i="3" s="1"/>
  <c r="H52" i="3"/>
  <c r="E52" i="3"/>
  <c r="E47" i="3"/>
  <c r="D54" i="3"/>
  <c r="D52" i="3"/>
  <c r="D47" i="3"/>
  <c r="H27" i="3"/>
  <c r="G27" i="3"/>
  <c r="F27" i="3"/>
  <c r="E27" i="3"/>
  <c r="D27" i="3"/>
  <c r="G50" i="2"/>
  <c r="F50" i="2"/>
  <c r="E50" i="2"/>
  <c r="D50" i="2"/>
  <c r="G51" i="2"/>
  <c r="F51" i="2"/>
  <c r="E51" i="2"/>
  <c r="D51" i="2"/>
  <c r="H51" i="2"/>
  <c r="H50" i="2"/>
  <c r="H7" i="2"/>
  <c r="AG20" i="2"/>
  <c r="AF20" i="2"/>
  <c r="AE20" i="2"/>
  <c r="AD20" i="2"/>
  <c r="AB20" i="2"/>
  <c r="AA20" i="2"/>
  <c r="Z20" i="2"/>
  <c r="Y20" i="2"/>
  <c r="W20" i="2"/>
  <c r="V20" i="2"/>
  <c r="U20" i="2"/>
  <c r="T20" i="2"/>
  <c r="AG9" i="2"/>
  <c r="AF9" i="2"/>
  <c r="AE9" i="2"/>
  <c r="AD9" i="2"/>
  <c r="AB9" i="2"/>
  <c r="AA9" i="2"/>
  <c r="Z9" i="2"/>
  <c r="Y9" i="2"/>
  <c r="W9" i="2"/>
  <c r="V9" i="2"/>
  <c r="U9" i="2"/>
  <c r="T9" i="2"/>
  <c r="R20" i="2"/>
  <c r="Q20" i="2"/>
  <c r="P20" i="2"/>
  <c r="O20" i="2"/>
  <c r="R9" i="2"/>
  <c r="Q9" i="2"/>
  <c r="P9" i="2"/>
  <c r="O9" i="2"/>
  <c r="L20" i="2"/>
  <c r="K20" i="2"/>
  <c r="J20" i="2"/>
  <c r="L9" i="2"/>
  <c r="K9" i="2"/>
  <c r="J9" i="2"/>
  <c r="H61" i="2"/>
  <c r="G61" i="2"/>
  <c r="F61" i="2"/>
  <c r="E61" i="2"/>
  <c r="H55" i="2"/>
  <c r="G55" i="2"/>
  <c r="F55" i="2"/>
  <c r="E55" i="2"/>
  <c r="H54" i="2"/>
  <c r="G54" i="2"/>
  <c r="F54" i="2"/>
  <c r="E54" i="2"/>
  <c r="H41" i="2"/>
  <c r="G41" i="2"/>
  <c r="F41" i="2"/>
  <c r="E41" i="2"/>
  <c r="H40" i="2"/>
  <c r="G40" i="2"/>
  <c r="F40" i="2"/>
  <c r="E40" i="2"/>
  <c r="H39" i="2"/>
  <c r="G39" i="2"/>
  <c r="F39" i="2"/>
  <c r="E39" i="2"/>
  <c r="H37" i="2"/>
  <c r="G37" i="2"/>
  <c r="F37" i="2"/>
  <c r="E37" i="2"/>
  <c r="H36" i="2"/>
  <c r="G36" i="2"/>
  <c r="F36" i="2"/>
  <c r="E36" i="2"/>
  <c r="H19" i="2"/>
  <c r="G19" i="2"/>
  <c r="F19" i="2"/>
  <c r="E19" i="2"/>
  <c r="H18" i="2"/>
  <c r="G18" i="2"/>
  <c r="F18" i="2"/>
  <c r="E18" i="2"/>
  <c r="H17" i="2"/>
  <c r="G17" i="2"/>
  <c r="F17" i="2"/>
  <c r="E17" i="2"/>
  <c r="H16" i="2"/>
  <c r="G16" i="2"/>
  <c r="F16" i="2"/>
  <c r="E16" i="2"/>
  <c r="H15" i="2"/>
  <c r="G15" i="2"/>
  <c r="F15" i="2"/>
  <c r="E15" i="2"/>
  <c r="H8" i="2"/>
  <c r="F8" i="2"/>
  <c r="E8" i="2"/>
  <c r="F7" i="2"/>
  <c r="E7" i="2"/>
  <c r="D61" i="2"/>
  <c r="D55" i="2"/>
  <c r="D54" i="2"/>
  <c r="D41" i="2"/>
  <c r="D40" i="2"/>
  <c r="D39" i="2"/>
  <c r="D37" i="2"/>
  <c r="D36" i="2"/>
  <c r="D19" i="2"/>
  <c r="D18" i="2"/>
  <c r="D17" i="2"/>
  <c r="D16" i="2"/>
  <c r="D15" i="2"/>
  <c r="M20" i="2"/>
  <c r="M9" i="2"/>
  <c r="G8" i="2"/>
  <c r="D8" i="2"/>
  <c r="G7" i="2"/>
  <c r="D7" i="2"/>
  <c r="E4" i="2"/>
  <c r="F4" i="2" s="1"/>
  <c r="G4" i="2" s="1"/>
  <c r="H4" i="2" s="1"/>
  <c r="C7" i="1"/>
  <c r="C10" i="1" s="1"/>
  <c r="H37" i="6" l="1"/>
  <c r="C38" i="6" s="1"/>
  <c r="D38" i="6" s="1"/>
  <c r="D20" i="6"/>
  <c r="D33" i="4"/>
  <c r="D35" i="4" s="1"/>
  <c r="E22" i="4"/>
  <c r="E35" i="4" s="1"/>
  <c r="C33" i="4"/>
  <c r="G12" i="4"/>
  <c r="G14" i="4" s="1"/>
  <c r="G39" i="4" s="1"/>
  <c r="C22" i="4"/>
  <c r="F12" i="4"/>
  <c r="F14" i="4" s="1"/>
  <c r="F39" i="4" s="1"/>
  <c r="C39" i="4"/>
  <c r="D39" i="4"/>
  <c r="E39" i="4"/>
  <c r="H54" i="3"/>
  <c r="G54" i="3"/>
  <c r="E54" i="3"/>
  <c r="F54" i="3"/>
  <c r="E11" i="2"/>
  <c r="G11" i="2"/>
  <c r="F11" i="2"/>
  <c r="D11" i="2"/>
  <c r="L28" i="2"/>
  <c r="L29" i="2" s="1"/>
  <c r="W28" i="2"/>
  <c r="W29" i="2" s="1"/>
  <c r="Y28" i="2"/>
  <c r="Y29" i="2" s="1"/>
  <c r="Z28" i="2"/>
  <c r="AA28" i="2"/>
  <c r="AA29" i="2" s="1"/>
  <c r="T28" i="2"/>
  <c r="T29" i="2" s="1"/>
  <c r="AB28" i="2"/>
  <c r="AB29" i="2" s="1"/>
  <c r="AD28" i="2"/>
  <c r="AD42" i="2" s="1"/>
  <c r="AD60" i="2" s="1"/>
  <c r="AE28" i="2"/>
  <c r="AE42" i="2" s="1"/>
  <c r="AE60" i="2" s="1"/>
  <c r="AF28" i="2"/>
  <c r="AF42" i="2" s="1"/>
  <c r="AF60" i="2" s="1"/>
  <c r="R28" i="2"/>
  <c r="R29" i="2" s="1"/>
  <c r="AG28" i="2"/>
  <c r="AG29" i="2" s="1"/>
  <c r="U28" i="2"/>
  <c r="U29" i="2" s="1"/>
  <c r="G20" i="2"/>
  <c r="H20" i="2"/>
  <c r="G9" i="2"/>
  <c r="V28" i="2"/>
  <c r="V29" i="2" s="1"/>
  <c r="F20" i="2"/>
  <c r="H9" i="2"/>
  <c r="M28" i="2"/>
  <c r="O28" i="2"/>
  <c r="O29" i="2" s="1"/>
  <c r="P28" i="2"/>
  <c r="P29" i="2" s="1"/>
  <c r="Q28" i="2"/>
  <c r="Q29" i="2" s="1"/>
  <c r="E20" i="2"/>
  <c r="J28" i="2"/>
  <c r="J29" i="2" s="1"/>
  <c r="K28" i="2"/>
  <c r="K42" i="2" s="1"/>
  <c r="K60" i="2" s="1"/>
  <c r="K29" i="2"/>
  <c r="D20" i="2"/>
  <c r="D9" i="2"/>
  <c r="E9" i="2"/>
  <c r="F9" i="2"/>
  <c r="F38" i="6" l="1"/>
  <c r="H38" i="6" s="1"/>
  <c r="C39" i="6" s="1"/>
  <c r="D39" i="6" s="1"/>
  <c r="H20" i="6"/>
  <c r="C21" i="6" s="1"/>
  <c r="G35" i="4"/>
  <c r="G37" i="4" s="1"/>
  <c r="F36" i="4" s="1"/>
  <c r="F35" i="4"/>
  <c r="C35" i="4"/>
  <c r="F37" i="4"/>
  <c r="E36" i="4" s="1"/>
  <c r="E37" i="4"/>
  <c r="D36" i="4" s="1"/>
  <c r="D37" i="4" s="1"/>
  <c r="C36" i="4" s="1"/>
  <c r="C37" i="4" s="1"/>
  <c r="E25" i="2"/>
  <c r="L42" i="2"/>
  <c r="L60" i="2" s="1"/>
  <c r="L67" i="2" s="1"/>
  <c r="F22" i="2"/>
  <c r="F25" i="2"/>
  <c r="H25" i="2"/>
  <c r="G25" i="2"/>
  <c r="D25" i="2"/>
  <c r="AD29" i="2"/>
  <c r="E22" i="2"/>
  <c r="W42" i="2"/>
  <c r="W60" i="2" s="1"/>
  <c r="W67" i="2" s="1"/>
  <c r="G22" i="2"/>
  <c r="D22" i="2"/>
  <c r="D23" i="2" s="1"/>
  <c r="AE29" i="2"/>
  <c r="D12" i="2"/>
  <c r="J42" i="2"/>
  <c r="J60" i="2" s="1"/>
  <c r="J67" i="2" s="1"/>
  <c r="AF29" i="2"/>
  <c r="AG42" i="2"/>
  <c r="Z29" i="2"/>
  <c r="Z42" i="2"/>
  <c r="Z60" i="2" s="1"/>
  <c r="Z62" i="2" s="1"/>
  <c r="H28" i="2"/>
  <c r="H29" i="2" s="1"/>
  <c r="Y42" i="2"/>
  <c r="Y60" i="2" s="1"/>
  <c r="Y67" i="2" s="1"/>
  <c r="AA42" i="2"/>
  <c r="AA60" i="2" s="1"/>
  <c r="AA62" i="2" s="1"/>
  <c r="T42" i="2"/>
  <c r="T60" i="2" s="1"/>
  <c r="T67" i="2" s="1"/>
  <c r="AB42" i="2"/>
  <c r="AB60" i="2" s="1"/>
  <c r="AB67" i="2" s="1"/>
  <c r="R42" i="2"/>
  <c r="R60" i="2" s="1"/>
  <c r="R67" i="2" s="1"/>
  <c r="G28" i="2"/>
  <c r="G32" i="2" s="1"/>
  <c r="W62" i="2"/>
  <c r="AF67" i="2"/>
  <c r="AF62" i="2"/>
  <c r="U42" i="2"/>
  <c r="U60" i="2" s="1"/>
  <c r="U67" i="2" s="1"/>
  <c r="AE67" i="2"/>
  <c r="AE62" i="2"/>
  <c r="AD67" i="2"/>
  <c r="AD62" i="2"/>
  <c r="V42" i="2"/>
  <c r="F28" i="2"/>
  <c r="M29" i="2"/>
  <c r="M42" i="2"/>
  <c r="M60" i="2" s="1"/>
  <c r="O42" i="2"/>
  <c r="O60" i="2" s="1"/>
  <c r="O67" i="2" s="1"/>
  <c r="P42" i="2"/>
  <c r="P60" i="2" s="1"/>
  <c r="P67" i="2" s="1"/>
  <c r="Q42" i="2"/>
  <c r="Q60" i="2" s="1"/>
  <c r="Q62" i="2" s="1"/>
  <c r="E28" i="2"/>
  <c r="K67" i="2"/>
  <c r="K62" i="2"/>
  <c r="D28" i="2"/>
  <c r="D29" i="2" s="1"/>
  <c r="F39" i="6" l="1"/>
  <c r="H39" i="6" s="1"/>
  <c r="C40" i="6" s="1"/>
  <c r="D40" i="6" s="1"/>
  <c r="F40" i="6"/>
  <c r="H40" i="6" s="1"/>
  <c r="C41" i="6" s="1"/>
  <c r="D41" i="6" s="1"/>
  <c r="F21" i="6"/>
  <c r="D21" i="6"/>
  <c r="H21" i="6"/>
  <c r="C22" i="6" s="1"/>
  <c r="D32" i="2"/>
  <c r="E29" i="2"/>
  <c r="E32" i="2"/>
  <c r="F29" i="2"/>
  <c r="F32" i="2"/>
  <c r="L62" i="2"/>
  <c r="D26" i="2"/>
  <c r="J62" i="2"/>
  <c r="R62" i="2"/>
  <c r="AG60" i="2"/>
  <c r="AG67" i="2" s="1"/>
  <c r="H42" i="2"/>
  <c r="V60" i="2"/>
  <c r="V67" i="2" s="1"/>
  <c r="Y62" i="2"/>
  <c r="Z67" i="2"/>
  <c r="AA67" i="2"/>
  <c r="AB62" i="2"/>
  <c r="T62" i="2"/>
  <c r="G29" i="2"/>
  <c r="G42" i="2"/>
  <c r="U62" i="2"/>
  <c r="F42" i="2"/>
  <c r="F47" i="2" s="1"/>
  <c r="M67" i="2"/>
  <c r="M62" i="2"/>
  <c r="O62" i="2"/>
  <c r="P62" i="2"/>
  <c r="E42" i="2"/>
  <c r="E47" i="2" s="1"/>
  <c r="Q67" i="2"/>
  <c r="D42" i="2"/>
  <c r="D47" i="2" s="1"/>
  <c r="F41" i="6" l="1"/>
  <c r="H41" i="6" s="1"/>
  <c r="C42" i="6" s="1"/>
  <c r="D42" i="6" s="1"/>
  <c r="D22" i="6"/>
  <c r="F22" i="6"/>
  <c r="G44" i="2"/>
  <c r="G47" i="2"/>
  <c r="D48" i="2" s="1"/>
  <c r="D31" i="2"/>
  <c r="D57" i="2"/>
  <c r="D44" i="2"/>
  <c r="H57" i="2"/>
  <c r="H44" i="2"/>
  <c r="E57" i="2"/>
  <c r="E44" i="2"/>
  <c r="F57" i="2"/>
  <c r="F44" i="2"/>
  <c r="D33" i="2"/>
  <c r="AG62" i="2"/>
  <c r="G60" i="2"/>
  <c r="G57" i="2"/>
  <c r="F60" i="2"/>
  <c r="D60" i="2"/>
  <c r="E60" i="2"/>
  <c r="H60" i="2"/>
  <c r="H67" i="2" s="1"/>
  <c r="V62" i="2"/>
  <c r="F42" i="6" l="1"/>
  <c r="H22" i="6"/>
  <c r="C23" i="6" s="1"/>
  <c r="F23" i="6"/>
  <c r="D23" i="6"/>
  <c r="F67" i="2"/>
  <c r="F64" i="2"/>
  <c r="G62" i="2"/>
  <c r="G64" i="2"/>
  <c r="E62" i="2"/>
  <c r="E64" i="2"/>
  <c r="D67" i="2"/>
  <c r="D64" i="2"/>
  <c r="D65" i="2" s="1"/>
  <c r="D58" i="2"/>
  <c r="D62" i="2"/>
  <c r="E67" i="2"/>
  <c r="F62" i="2"/>
  <c r="D45" i="2"/>
  <c r="H62" i="2"/>
  <c r="G67" i="2"/>
  <c r="H42" i="6" l="1"/>
  <c r="C43" i="6" s="1"/>
  <c r="D43" i="6" s="1"/>
  <c r="H23" i="6"/>
  <c r="C24" i="6" s="1"/>
  <c r="D68" i="2"/>
  <c r="F43" i="6" l="1"/>
  <c r="H43" i="6" s="1"/>
  <c r="C44" i="6" s="1"/>
  <c r="D44" i="6" s="1"/>
  <c r="D24" i="6"/>
  <c r="F24" i="6"/>
  <c r="F44" i="6" l="1"/>
  <c r="H44" i="6" s="1"/>
  <c r="C45" i="6" s="1"/>
  <c r="D45" i="6" s="1"/>
  <c r="H24" i="6"/>
  <c r="C25" i="6" s="1"/>
  <c r="F45" i="6" l="1"/>
  <c r="H45" i="6" s="1"/>
  <c r="C46" i="6" s="1"/>
  <c r="D46" i="6" s="1"/>
  <c r="D25" i="6"/>
  <c r="F25" i="6"/>
  <c r="F46" i="6" l="1"/>
  <c r="H46" i="6" s="1"/>
  <c r="C47" i="6" s="1"/>
  <c r="D47" i="6" s="1"/>
  <c r="H47" i="6" s="1"/>
  <c r="H48" i="6" s="1"/>
  <c r="F52" i="6" s="1"/>
  <c r="H25" i="6"/>
  <c r="C26" i="6" s="1"/>
  <c r="C57" i="6" l="1"/>
  <c r="F57" i="6" s="1"/>
  <c r="D26" i="6"/>
  <c r="F26" i="6"/>
  <c r="H26" i="6" l="1"/>
  <c r="C27" i="6" s="1"/>
  <c r="D27" i="6" l="1"/>
  <c r="F27" i="6"/>
  <c r="H27" i="6" l="1"/>
  <c r="C28" i="6"/>
  <c r="D28" i="6" s="1"/>
  <c r="F28" i="6" l="1"/>
  <c r="H28" i="6" l="1"/>
  <c r="C29" i="6" l="1"/>
  <c r="D29" i="6" s="1"/>
  <c r="H29" i="6" s="1"/>
  <c r="H30" i="6" s="1"/>
  <c r="B52" i="6" s="1"/>
  <c r="C55" i="6" l="1"/>
  <c r="F55" i="6" s="1"/>
  <c r="D52" i="6"/>
  <c r="C56" i="6" s="1"/>
  <c r="F56" i="6" s="1"/>
  <c r="F58" i="6" s="1"/>
  <c r="C11" i="1" s="1"/>
</calcChain>
</file>

<file path=xl/sharedStrings.xml><?xml version="1.0" encoding="utf-8"?>
<sst xmlns="http://schemas.openxmlformats.org/spreadsheetml/2006/main" count="203" uniqueCount="182">
  <si>
    <t>Indus Towers Ltd</t>
  </si>
  <si>
    <t>Price</t>
  </si>
  <si>
    <t>Shares</t>
  </si>
  <si>
    <t>Market Cap</t>
  </si>
  <si>
    <t>Debt</t>
  </si>
  <si>
    <t>Cash</t>
  </si>
  <si>
    <t>Indus Towers Limited is engaged in the business of object of, inter-alia, setting up, operating and maintaining wireless communication towers</t>
  </si>
  <si>
    <t>Income Statement</t>
  </si>
  <si>
    <t>Q1 2025</t>
  </si>
  <si>
    <t>Q2  2025</t>
  </si>
  <si>
    <t>Q3 2025</t>
  </si>
  <si>
    <t>Q4 2025</t>
  </si>
  <si>
    <t>Q1 2024</t>
  </si>
  <si>
    <t>Q2  2024</t>
  </si>
  <si>
    <t>Q3 2024</t>
  </si>
  <si>
    <t>Q4 2024</t>
  </si>
  <si>
    <t>Q1 2023</t>
  </si>
  <si>
    <t>Q3 2023</t>
  </si>
  <si>
    <t>Q4 2023</t>
  </si>
  <si>
    <t>Q1 2022</t>
  </si>
  <si>
    <t>Q2  2022</t>
  </si>
  <si>
    <t>Q3 2022</t>
  </si>
  <si>
    <t>Q4 2022</t>
  </si>
  <si>
    <t>Particulars</t>
  </si>
  <si>
    <t>Income</t>
  </si>
  <si>
    <t>Revenue from operations</t>
  </si>
  <si>
    <t>Other Income</t>
  </si>
  <si>
    <t>Q1 2021</t>
  </si>
  <si>
    <t>Q2  2021</t>
  </si>
  <si>
    <t>Q3 2021</t>
  </si>
  <si>
    <t>Q4 2021</t>
  </si>
  <si>
    <t>Total Income</t>
  </si>
  <si>
    <t>Expenses</t>
  </si>
  <si>
    <t>Cost of Material Consumed</t>
  </si>
  <si>
    <t>Power and Fuel</t>
  </si>
  <si>
    <t>Employee benefit expense</t>
  </si>
  <si>
    <t>Repairs and Maintanience</t>
  </si>
  <si>
    <t>Other expenses</t>
  </si>
  <si>
    <t>Total Expeses</t>
  </si>
  <si>
    <t>Profit Before Depreciation, finace cost, charity and Tax</t>
  </si>
  <si>
    <t xml:space="preserve">PBDTC / Total Income </t>
  </si>
  <si>
    <t>Depreciation and amortisation</t>
  </si>
  <si>
    <t>Less : adjusted with general reserve.</t>
  </si>
  <si>
    <t>Finance Cost</t>
  </si>
  <si>
    <t>Finance Income</t>
  </si>
  <si>
    <t>Charity and Donation</t>
  </si>
  <si>
    <t>Profit before Tax</t>
  </si>
  <si>
    <t>Tax Expense</t>
  </si>
  <si>
    <t>- Current Tax</t>
  </si>
  <si>
    <t>- Deffered Tax</t>
  </si>
  <si>
    <t>Profit for the period</t>
  </si>
  <si>
    <t>EPS</t>
  </si>
  <si>
    <t>Shares Outstanding</t>
  </si>
  <si>
    <t xml:space="preserve">Profit / Total Income </t>
  </si>
  <si>
    <t>Exceptioanl Items</t>
  </si>
  <si>
    <t>Q2 2023</t>
  </si>
  <si>
    <t>Share in profit of JV</t>
  </si>
  <si>
    <t>Average</t>
  </si>
  <si>
    <t>Average Growth of Sales</t>
  </si>
  <si>
    <t>Sales Growth</t>
  </si>
  <si>
    <t>Average Expenses</t>
  </si>
  <si>
    <t>Expenses Growth</t>
  </si>
  <si>
    <t>Average Tax Percentage</t>
  </si>
  <si>
    <t>Tax Percentage</t>
  </si>
  <si>
    <t>Expense Ratio</t>
  </si>
  <si>
    <t>PBDTC growth ratio</t>
  </si>
  <si>
    <t>PBDTC average Ratio</t>
  </si>
  <si>
    <t>Pbt Ratio</t>
  </si>
  <si>
    <t>PBT Growth Ratio</t>
  </si>
  <si>
    <t>PAT growth Ratio</t>
  </si>
  <si>
    <t>Balance Sheet</t>
  </si>
  <si>
    <t>Non-current Assets</t>
  </si>
  <si>
    <t>PPE</t>
  </si>
  <si>
    <t>Right to use assets</t>
  </si>
  <si>
    <t>CWIP</t>
  </si>
  <si>
    <t>Intangible assets</t>
  </si>
  <si>
    <t>Financial Assets</t>
  </si>
  <si>
    <t>- Investment</t>
  </si>
  <si>
    <t>- Other Financial Assets</t>
  </si>
  <si>
    <t>Other non current assets</t>
  </si>
  <si>
    <t>Current Assets</t>
  </si>
  <si>
    <t>Inventories</t>
  </si>
  <si>
    <t>Financial assets</t>
  </si>
  <si>
    <t>- Investments</t>
  </si>
  <si>
    <t>- Trade receivable</t>
  </si>
  <si>
    <t>- Cash and cash eq</t>
  </si>
  <si>
    <t>- Other Bank Balances</t>
  </si>
  <si>
    <t>- Other Finanical assets</t>
  </si>
  <si>
    <t>Other Current assets</t>
  </si>
  <si>
    <t>Total Assets</t>
  </si>
  <si>
    <t>2024-25</t>
  </si>
  <si>
    <t>2023-24</t>
  </si>
  <si>
    <t>2022-23</t>
  </si>
  <si>
    <t>2021-22</t>
  </si>
  <si>
    <t>Income tax assets (net)</t>
  </si>
  <si>
    <t>A. Assets</t>
  </si>
  <si>
    <t>Equity</t>
  </si>
  <si>
    <t xml:space="preserve">-      Equity Share Capital </t>
  </si>
  <si>
    <t>-      Other Equity</t>
  </si>
  <si>
    <t>Liability</t>
  </si>
  <si>
    <t>Non-current Liabilities</t>
  </si>
  <si>
    <t>Borrowings</t>
  </si>
  <si>
    <t>Lease Liability</t>
  </si>
  <si>
    <t>Other Financial Liabilities</t>
  </si>
  <si>
    <t>Provisions</t>
  </si>
  <si>
    <t>Deffered Tax Liability</t>
  </si>
  <si>
    <t>Other Non-current Liabilities</t>
  </si>
  <si>
    <t>Financial Liabilities</t>
  </si>
  <si>
    <t>Current Liabilities</t>
  </si>
  <si>
    <t>Financials Liabilities</t>
  </si>
  <si>
    <t>Borrowing</t>
  </si>
  <si>
    <t>Lease Liabilities</t>
  </si>
  <si>
    <t>Trade Payable</t>
  </si>
  <si>
    <t>Other Current Liabilities</t>
  </si>
  <si>
    <t>Current Tax Liabilities (net)</t>
  </si>
  <si>
    <t>Total Liabilities</t>
  </si>
  <si>
    <t>Deffered tax assets(net)</t>
  </si>
  <si>
    <t>B. Equity and Liabilties</t>
  </si>
  <si>
    <t>2020-21</t>
  </si>
  <si>
    <t>Enterprice Valuer</t>
  </si>
  <si>
    <t xml:space="preserve">Cash Flow </t>
  </si>
  <si>
    <t>Cash Flow from Operating activities:</t>
  </si>
  <si>
    <t>PBT</t>
  </si>
  <si>
    <t>Adjustments</t>
  </si>
  <si>
    <t>Operating Profit before changes in assets and liabilities</t>
  </si>
  <si>
    <t>Changes in WC</t>
  </si>
  <si>
    <t>Cash Generated from opearions</t>
  </si>
  <si>
    <t>Income Tax Paid</t>
  </si>
  <si>
    <t>Cash Flow from Operating activities (A)</t>
  </si>
  <si>
    <t>Cash From Investing activities</t>
  </si>
  <si>
    <t>Outflow of cash for PPE (net)</t>
  </si>
  <si>
    <t>Outflow of cash for Investments</t>
  </si>
  <si>
    <t>Proceeds from other items</t>
  </si>
  <si>
    <t>Net cash flow from/used in investing activities</t>
  </si>
  <si>
    <t>Cash flows from financing activities</t>
  </si>
  <si>
    <t>Proceeds/Repayment of borrowing</t>
  </si>
  <si>
    <t>Sale, Purchase of shares</t>
  </si>
  <si>
    <t>Payment for Buyback and other related costs</t>
  </si>
  <si>
    <t>Interest Paid and other proceeds</t>
  </si>
  <si>
    <t>Repayment of lease liabilities</t>
  </si>
  <si>
    <t>Net Cash flow from Financing activities</t>
  </si>
  <si>
    <t>Cash at the end</t>
  </si>
  <si>
    <t>Free Cash Flow</t>
  </si>
  <si>
    <t>(Operating Cash flow + Capex + Investment in Investments and other interest earning assets</t>
  </si>
  <si>
    <t>Dividend Paid</t>
  </si>
  <si>
    <t>Proceeds/investments from bank deposits and restricted balances with banks &amp; Interest received</t>
  </si>
  <si>
    <t>Dividend Received</t>
  </si>
  <si>
    <t>Payment made to Vodafone Idea for merger</t>
  </si>
  <si>
    <t>Opening Balance of Cash (Net of Bank Overdraft) &amp; cash in persuant to merger</t>
  </si>
  <si>
    <t>Net Cash increase / decrease (A + B + C)</t>
  </si>
  <si>
    <t xml:space="preserve">So what i want to do is make the analysis of a company based a Investment Proverb/equation of "A bird in hand is equal to 2 in hand", and to make the story of a company that i anlyse according to the framework of the proverb. So basically the objective is that is the investment in the company worth it or not and It will be measured according to comparing the one bird in hand that is Cash (our Investment) and compare it to the company that is 2 bird in the bush and The cash will be considered as certainty with increasing with the risk free premium and the uncertainty factor that the companies cash flow or more certainty by companies free cash flow and discounting it with risk uncertainty factor and seeing and coming to the conclusion that the company is worth the 2 in the bush after the considerable period and is 1 in hand now is worth more than 2 in the bush. And in the period of like 5 or 10 years ahead. </t>
  </si>
  <si>
    <r>
      <t>"</t>
    </r>
    <r>
      <rPr>
        <b/>
        <sz val="15"/>
        <color theme="1"/>
        <rFont val="Times New Roman"/>
        <family val="1"/>
      </rPr>
      <t>A</t>
    </r>
    <r>
      <rPr>
        <b/>
        <sz val="11"/>
        <color theme="1"/>
        <rFont val="Times New Roman"/>
        <family val="1"/>
      </rPr>
      <t xml:space="preserve"> Bird in </t>
    </r>
    <r>
      <rPr>
        <b/>
        <sz val="15"/>
        <color theme="1"/>
        <rFont val="Times New Roman"/>
        <family val="1"/>
      </rPr>
      <t>Hand</t>
    </r>
    <r>
      <rPr>
        <b/>
        <sz val="11"/>
        <color theme="1"/>
        <rFont val="Times New Roman"/>
        <family val="1"/>
      </rPr>
      <t xml:space="preserve"> is Worth </t>
    </r>
    <r>
      <rPr>
        <b/>
        <sz val="15"/>
        <color theme="1"/>
        <rFont val="Times New Roman"/>
        <family val="1"/>
      </rPr>
      <t>Two</t>
    </r>
    <r>
      <rPr>
        <b/>
        <sz val="11"/>
        <color theme="1"/>
        <rFont val="Times New Roman"/>
        <family val="1"/>
      </rPr>
      <t xml:space="preserve"> in the Bush"</t>
    </r>
  </si>
  <si>
    <t>In this Framework we compare certainty with uncertainty, and measure that is it worth taking the risk for uncertainty which should be equivalent or more than certainty.</t>
  </si>
  <si>
    <t>Certainty</t>
  </si>
  <si>
    <t>=</t>
  </si>
  <si>
    <t>Cash with Risk Free Premium</t>
  </si>
  <si>
    <t>Uncertainty</t>
  </si>
  <si>
    <t>Cash Flow of the business including its growth in the future years with discounted to the present value</t>
  </si>
  <si>
    <t>Conclusion</t>
  </si>
  <si>
    <t>It should be equal or more than the certainty value including Margin of Safety</t>
  </si>
  <si>
    <r>
      <t xml:space="preserve">CERTAINTY : </t>
    </r>
    <r>
      <rPr>
        <sz val="11"/>
        <color theme="1"/>
        <rFont val="Times New Roman"/>
        <family val="1"/>
      </rPr>
      <t>How much Cash is required to the buy the company as of now that is Q1 of 2025. So the Market Capitalisation of the company is : 1,03,526 crores. So if I buy the complete company today I have to pay in excess of 1 Lacs Crores of Indian Ruppes.</t>
    </r>
    <r>
      <rPr>
        <b/>
        <sz val="11"/>
        <color theme="1"/>
        <rFont val="Times New Roman"/>
        <family val="1"/>
      </rPr>
      <t xml:space="preserve"> It is valued at 10.4 times multiple of earning.</t>
    </r>
  </si>
  <si>
    <t>Years</t>
  </si>
  <si>
    <t>Risk Free Premium</t>
  </si>
  <si>
    <t>Discounted Value</t>
  </si>
  <si>
    <t>Cashflow</t>
  </si>
  <si>
    <t>Cash at the year end</t>
  </si>
  <si>
    <r>
      <rPr>
        <b/>
        <sz val="11"/>
        <color theme="1"/>
        <rFont val="Times New Roman"/>
        <family val="1"/>
      </rPr>
      <t>UNCERTAINTY</t>
    </r>
    <r>
      <rPr>
        <sz val="11"/>
        <color theme="1"/>
        <rFont val="Times New Roman"/>
        <family val="1"/>
      </rPr>
      <t xml:space="preserve"> : How much cash the company will generate from today to the end of 10th year. The discounting factor would be measured according to the risk of the company and growth rate would be according to the past performance of the company</t>
    </r>
  </si>
  <si>
    <t>Terminal Value</t>
  </si>
  <si>
    <t>Cash Value</t>
  </si>
  <si>
    <t>Growth Rate of Cash Flows</t>
  </si>
  <si>
    <t>Discount Rate</t>
  </si>
  <si>
    <t>Cash At the end of the year</t>
  </si>
  <si>
    <t>Bird In Hand</t>
  </si>
  <si>
    <t>Future Bird in Bush</t>
  </si>
  <si>
    <t>Margin of Safety</t>
  </si>
  <si>
    <t>Total Value</t>
  </si>
  <si>
    <t>No of Shareholders</t>
  </si>
  <si>
    <t>Per Share Value</t>
  </si>
  <si>
    <t>Average No. of Shareholders</t>
  </si>
  <si>
    <t>Margin of Safety in percentage</t>
  </si>
  <si>
    <t>MOS</t>
  </si>
  <si>
    <t>Business Cashflow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</si>
</sst>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7" formatCode="_(* #,##0_);_(* \(#,##0\);_(* &quot;-&quot;??_);_(@_)"/>
  </numFmts>
  <fonts count="9" x14ac:knownFonts="1">
    <font>
      <sz val="11"/>
      <color theme="1"/>
      <name val="Calibri"/>
      <family val="2"/>
      <scheme val="minor"/>
    </font>
    <font>
      <sz val="11"/>
      <color theme="1"/>
      <name val="Calibri"/>
      <family val="2"/>
      <scheme val="minor"/>
    </font>
    <font>
      <b/>
      <sz val="17"/>
      <color theme="1"/>
      <name val="Mangal"/>
      <family val="1"/>
    </font>
    <font>
      <sz val="11"/>
      <color theme="1"/>
      <name val="Mangal"/>
      <family val="1"/>
    </font>
    <font>
      <b/>
      <sz val="11"/>
      <color theme="1"/>
      <name val="Mangal"/>
      <family val="1"/>
    </font>
    <font>
      <sz val="11"/>
      <color theme="1"/>
      <name val="Times New Roman"/>
      <family val="1"/>
    </font>
    <font>
      <b/>
      <sz val="11"/>
      <color theme="1"/>
      <name val="Times New Roman"/>
      <family val="1"/>
    </font>
    <font>
      <b/>
      <sz val="11"/>
      <color theme="1"/>
      <name val="Calibri"/>
      <family val="2"/>
      <scheme val="minor"/>
    </font>
    <font>
      <b/>
      <sz val="15"/>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167">
    <xf numFmtId="0" fontId="0" fillId="0" borderId="0" xfId="0"/>
    <xf numFmtId="0" fontId="3" fillId="0" borderId="0" xfId="0" applyFont="1"/>
    <xf numFmtId="43" fontId="5" fillId="0" borderId="0" xfId="1" applyFont="1"/>
    <xf numFmtId="43" fontId="0" fillId="0" borderId="0" xfId="1" applyFont="1"/>
    <xf numFmtId="43" fontId="6" fillId="0" borderId="0" xfId="1" applyFont="1"/>
    <xf numFmtId="43" fontId="5" fillId="0" borderId="0" xfId="1" applyFont="1" applyAlignment="1">
      <alignment wrapText="1"/>
    </xf>
    <xf numFmtId="10" fontId="5" fillId="0" borderId="0" xfId="1" applyNumberFormat="1" applyFont="1"/>
    <xf numFmtId="10" fontId="6" fillId="0" borderId="0" xfId="1" applyNumberFormat="1" applyFont="1"/>
    <xf numFmtId="10" fontId="5" fillId="2" borderId="0" xfId="1" applyNumberFormat="1" applyFont="1" applyFill="1"/>
    <xf numFmtId="43" fontId="5" fillId="2" borderId="0" xfId="1" applyFont="1" applyFill="1"/>
    <xf numFmtId="43" fontId="6" fillId="0" borderId="1" xfId="1" applyFont="1" applyBorder="1" applyAlignment="1">
      <alignment horizontal="center" vertical="center"/>
    </xf>
    <xf numFmtId="43" fontId="6" fillId="0" borderId="10" xfId="1" applyFont="1" applyBorder="1"/>
    <xf numFmtId="49" fontId="6" fillId="0" borderId="12" xfId="1" applyNumberFormat="1" applyFont="1" applyBorder="1" applyAlignment="1">
      <alignment horizontal="center" vertical="center"/>
    </xf>
    <xf numFmtId="49" fontId="6" fillId="0" borderId="11" xfId="1" applyNumberFormat="1" applyFont="1" applyBorder="1" applyAlignment="1">
      <alignment horizontal="center" vertical="center"/>
    </xf>
    <xf numFmtId="43" fontId="6" fillId="0" borderId="2" xfId="1" applyFont="1" applyBorder="1"/>
    <xf numFmtId="43" fontId="5" fillId="0" borderId="3" xfId="1" applyFont="1" applyBorder="1"/>
    <xf numFmtId="43" fontId="5" fillId="0" borderId="4" xfId="1" applyFont="1" applyBorder="1"/>
    <xf numFmtId="43" fontId="5" fillId="0" borderId="0" xfId="1" applyFont="1" applyBorder="1"/>
    <xf numFmtId="43" fontId="5" fillId="0" borderId="9" xfId="1" applyFont="1" applyBorder="1"/>
    <xf numFmtId="43" fontId="5" fillId="0" borderId="8" xfId="1" applyFont="1" applyBorder="1"/>
    <xf numFmtId="43" fontId="6" fillId="0" borderId="5" xfId="1" applyFont="1" applyBorder="1"/>
    <xf numFmtId="43" fontId="6" fillId="0" borderId="6" xfId="1" applyFont="1" applyBorder="1"/>
    <xf numFmtId="43" fontId="6" fillId="0" borderId="7" xfId="1" applyFont="1" applyBorder="1"/>
    <xf numFmtId="43" fontId="6" fillId="0" borderId="3" xfId="1" applyFont="1" applyBorder="1"/>
    <xf numFmtId="43" fontId="6" fillId="0" borderId="4" xfId="1" applyFont="1" applyBorder="1"/>
    <xf numFmtId="10" fontId="6" fillId="0" borderId="6" xfId="1" applyNumberFormat="1" applyFont="1" applyBorder="1"/>
    <xf numFmtId="10" fontId="6" fillId="0" borderId="7" xfId="1" applyNumberFormat="1" applyFont="1" applyBorder="1"/>
    <xf numFmtId="43" fontId="5" fillId="0" borderId="2" xfId="1" applyFont="1" applyBorder="1"/>
    <xf numFmtId="43" fontId="6" fillId="0" borderId="12" xfId="1" applyFont="1" applyBorder="1"/>
    <xf numFmtId="43" fontId="6" fillId="0" borderId="11" xfId="1" applyFont="1" applyBorder="1"/>
    <xf numFmtId="43" fontId="5" fillId="0" borderId="5" xfId="1" applyFont="1" applyBorder="1"/>
    <xf numFmtId="43" fontId="5" fillId="0" borderId="6" xfId="1" applyFont="1" applyBorder="1"/>
    <xf numFmtId="43" fontId="5" fillId="0" borderId="7" xfId="1" applyFont="1" applyBorder="1"/>
    <xf numFmtId="10" fontId="6" fillId="0" borderId="12" xfId="1" applyNumberFormat="1" applyFont="1" applyBorder="1"/>
    <xf numFmtId="10" fontId="6" fillId="0" borderId="11" xfId="1" applyNumberFormat="1" applyFont="1" applyBorder="1"/>
    <xf numFmtId="43" fontId="6" fillId="0" borderId="0" xfId="1" applyFont="1" applyBorder="1"/>
    <xf numFmtId="10" fontId="6" fillId="0" borderId="0" xfId="1" applyNumberFormat="1" applyFont="1" applyBorder="1"/>
    <xf numFmtId="43" fontId="5" fillId="0" borderId="0" xfId="1" quotePrefix="1" applyFont="1" applyBorder="1"/>
    <xf numFmtId="10" fontId="5" fillId="0" borderId="0" xfId="1" applyNumberFormat="1" applyFont="1" applyBorder="1"/>
    <xf numFmtId="43" fontId="6" fillId="0" borderId="0" xfId="1" quotePrefix="1" applyFont="1" applyBorder="1"/>
    <xf numFmtId="43" fontId="6" fillId="0" borderId="13" xfId="1" applyFont="1" applyBorder="1"/>
    <xf numFmtId="43" fontId="5" fillId="0" borderId="14" xfId="1" applyFont="1" applyBorder="1" applyAlignment="1"/>
    <xf numFmtId="43" fontId="5" fillId="0" borderId="14" xfId="1" applyFont="1" applyBorder="1"/>
    <xf numFmtId="43" fontId="6" fillId="0" borderId="15" xfId="1" applyFont="1" applyBorder="1"/>
    <xf numFmtId="43" fontId="6" fillId="0" borderId="13" xfId="1" applyFont="1" applyBorder="1" applyAlignment="1">
      <alignment wrapText="1"/>
    </xf>
    <xf numFmtId="43" fontId="6" fillId="0" borderId="15" xfId="1" applyFont="1" applyBorder="1" applyAlignment="1">
      <alignment wrapText="1"/>
    </xf>
    <xf numFmtId="43" fontId="5" fillId="0" borderId="13" xfId="1" applyFont="1" applyBorder="1"/>
    <xf numFmtId="43" fontId="5" fillId="0" borderId="14" xfId="1" applyFont="1" applyBorder="1" applyAlignment="1">
      <alignment wrapText="1"/>
    </xf>
    <xf numFmtId="43" fontId="6" fillId="0" borderId="1" xfId="1" applyFont="1" applyBorder="1"/>
    <xf numFmtId="43" fontId="5" fillId="0" borderId="15" xfId="1" applyFont="1" applyBorder="1"/>
    <xf numFmtId="43" fontId="5" fillId="0" borderId="14" xfId="1" quotePrefix="1" applyFont="1" applyBorder="1"/>
    <xf numFmtId="43" fontId="5" fillId="0" borderId="15" xfId="1" quotePrefix="1" applyFont="1" applyBorder="1"/>
    <xf numFmtId="43" fontId="6" fillId="0" borderId="14" xfId="1" applyFont="1" applyBorder="1"/>
    <xf numFmtId="49" fontId="6" fillId="0" borderId="10" xfId="1" applyNumberFormat="1" applyFont="1" applyBorder="1" applyAlignment="1">
      <alignment horizontal="center" vertical="center"/>
    </xf>
    <xf numFmtId="10" fontId="6" fillId="0" borderId="5" xfId="1" applyNumberFormat="1" applyFont="1" applyBorder="1"/>
    <xf numFmtId="10" fontId="6" fillId="0" borderId="10" xfId="1" applyNumberFormat="1" applyFont="1" applyBorder="1"/>
    <xf numFmtId="43" fontId="6" fillId="0" borderId="0" xfId="1" applyFont="1" applyBorder="1" applyAlignment="1">
      <alignment wrapText="1"/>
    </xf>
    <xf numFmtId="10" fontId="6" fillId="3" borderId="0" xfId="1" applyNumberFormat="1" applyFont="1" applyFill="1" applyBorder="1"/>
    <xf numFmtId="10" fontId="6" fillId="3" borderId="0" xfId="1" applyNumberFormat="1" applyFont="1" applyFill="1"/>
    <xf numFmtId="10" fontId="6" fillId="2" borderId="0" xfId="1" applyNumberFormat="1" applyFont="1" applyFill="1" applyBorder="1"/>
    <xf numFmtId="43" fontId="5" fillId="0" borderId="1" xfId="1" applyFont="1" applyBorder="1"/>
    <xf numFmtId="43" fontId="6" fillId="0" borderId="8" xfId="1" applyFont="1" applyBorder="1"/>
    <xf numFmtId="43" fontId="5" fillId="0" borderId="8" xfId="1" quotePrefix="1" applyFont="1" applyBorder="1"/>
    <xf numFmtId="43" fontId="5" fillId="0" borderId="5" xfId="1" quotePrefix="1" applyFont="1" applyBorder="1"/>
    <xf numFmtId="43" fontId="4" fillId="0" borderId="1" xfId="1" applyFont="1" applyBorder="1"/>
    <xf numFmtId="43" fontId="4" fillId="0" borderId="1" xfId="1" applyFont="1" applyBorder="1" applyAlignment="1">
      <alignment wrapText="1"/>
    </xf>
    <xf numFmtId="43" fontId="6" fillId="0" borderId="14" xfId="1" applyFont="1" applyBorder="1" applyAlignment="1">
      <alignment wrapText="1"/>
    </xf>
    <xf numFmtId="43" fontId="5" fillId="0" borderId="1" xfId="1" applyFont="1" applyBorder="1" applyAlignment="1">
      <alignment wrapText="1"/>
    </xf>
    <xf numFmtId="0" fontId="7" fillId="0" borderId="0" xfId="0" applyFont="1" applyAlignment="1">
      <alignment horizontal="justify" vertical="justify"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4" fillId="0" borderId="2" xfId="0" applyFont="1" applyBorder="1" applyAlignment="1">
      <alignment horizontal="justify" vertical="justify" wrapText="1"/>
    </xf>
    <xf numFmtId="0" fontId="4" fillId="0" borderId="3" xfId="0" applyFont="1" applyBorder="1" applyAlignment="1">
      <alignment horizontal="justify" vertical="justify" wrapText="1"/>
    </xf>
    <xf numFmtId="0" fontId="4" fillId="0" borderId="4" xfId="0" applyFont="1" applyBorder="1" applyAlignment="1">
      <alignment horizontal="justify" vertical="justify" wrapText="1"/>
    </xf>
    <xf numFmtId="0" fontId="4" fillId="0" borderId="8" xfId="0" applyFont="1" applyBorder="1" applyAlignment="1">
      <alignment horizontal="justify" vertical="justify" wrapText="1"/>
    </xf>
    <xf numFmtId="0" fontId="4" fillId="0" borderId="0" xfId="0" applyFont="1" applyAlignment="1">
      <alignment horizontal="justify" vertical="justify" wrapText="1"/>
    </xf>
    <xf numFmtId="0" fontId="4" fillId="0" borderId="9" xfId="0" applyFont="1" applyBorder="1" applyAlignment="1">
      <alignment horizontal="justify" vertical="justify" wrapText="1"/>
    </xf>
    <xf numFmtId="0" fontId="4" fillId="0" borderId="5" xfId="0" applyFont="1" applyBorder="1" applyAlignment="1">
      <alignment horizontal="justify" vertical="justify" wrapText="1"/>
    </xf>
    <xf numFmtId="0" fontId="4" fillId="0" borderId="6" xfId="0" applyFont="1" applyBorder="1" applyAlignment="1">
      <alignment horizontal="justify" vertical="justify" wrapText="1"/>
    </xf>
    <xf numFmtId="0" fontId="4" fillId="0" borderId="7" xfId="0" applyFont="1" applyBorder="1" applyAlignment="1">
      <alignment horizontal="justify" vertical="justify" wrapText="1"/>
    </xf>
    <xf numFmtId="0" fontId="7" fillId="0" borderId="0" xfId="0" applyFont="1" applyAlignment="1">
      <alignment vertical="justify" wrapText="1"/>
    </xf>
    <xf numFmtId="0" fontId="7" fillId="0" borderId="0" xfId="0" applyFont="1" applyAlignment="1">
      <alignment vertical="justify" wrapText="1"/>
    </xf>
    <xf numFmtId="0" fontId="0" fillId="0" borderId="10" xfId="0" applyBorder="1"/>
    <xf numFmtId="0" fontId="0" fillId="0" borderId="12" xfId="0" applyBorder="1"/>
    <xf numFmtId="0" fontId="0" fillId="0" borderId="11" xfId="0" applyBorder="1"/>
    <xf numFmtId="43" fontId="6" fillId="0" borderId="2" xfId="1" applyFont="1" applyBorder="1" applyAlignment="1">
      <alignment horizontal="center" vertical="center"/>
    </xf>
    <xf numFmtId="43" fontId="6" fillId="0" borderId="3" xfId="1" applyFont="1" applyBorder="1" applyAlignment="1">
      <alignment horizontal="center" vertical="center"/>
    </xf>
    <xf numFmtId="43" fontId="6" fillId="0" borderId="4" xfId="1" applyFont="1" applyBorder="1" applyAlignment="1">
      <alignment horizontal="center" vertical="center"/>
    </xf>
    <xf numFmtId="43" fontId="6" fillId="0" borderId="5" xfId="1" applyFont="1" applyBorder="1" applyAlignment="1">
      <alignment horizontal="center" vertical="center"/>
    </xf>
    <xf numFmtId="43" fontId="6" fillId="0" borderId="6" xfId="1" applyFont="1" applyBorder="1" applyAlignment="1">
      <alignment horizontal="center" vertical="center"/>
    </xf>
    <xf numFmtId="43" fontId="6" fillId="0" borderId="7" xfId="1" applyFont="1" applyBorder="1" applyAlignment="1">
      <alignment horizontal="center" vertical="center"/>
    </xf>
    <xf numFmtId="43" fontId="6" fillId="0" borderId="2" xfId="1" applyFont="1" applyBorder="1" applyAlignment="1">
      <alignment wrapText="1"/>
    </xf>
    <xf numFmtId="43" fontId="6" fillId="0" borderId="3" xfId="1" applyFont="1" applyBorder="1" applyAlignment="1">
      <alignment wrapText="1"/>
    </xf>
    <xf numFmtId="43" fontId="6" fillId="0" borderId="4" xfId="1" applyFont="1" applyBorder="1" applyAlignment="1">
      <alignment wrapText="1"/>
    </xf>
    <xf numFmtId="43" fontId="6" fillId="0" borderId="5" xfId="1" applyFont="1" applyBorder="1" applyAlignment="1">
      <alignment wrapText="1"/>
    </xf>
    <xf numFmtId="43" fontId="6" fillId="0" borderId="6" xfId="1" applyFont="1" applyBorder="1" applyAlignment="1">
      <alignment wrapText="1"/>
    </xf>
    <xf numFmtId="43" fontId="6" fillId="0" borderId="7" xfId="1" applyFont="1" applyBorder="1" applyAlignment="1">
      <alignment wrapText="1"/>
    </xf>
    <xf numFmtId="43" fontId="5" fillId="0" borderId="0" xfId="1" quotePrefix="1" applyFont="1" applyAlignment="1">
      <alignment horizontal="center" vertical="center"/>
    </xf>
    <xf numFmtId="43" fontId="5" fillId="0" borderId="0" xfId="1" applyFont="1" applyAlignment="1">
      <alignment horizontal="left" vertical="center"/>
    </xf>
    <xf numFmtId="43" fontId="6" fillId="0" borderId="0" xfId="1" applyFont="1" applyAlignment="1">
      <alignment horizontal="left" vertical="center"/>
    </xf>
    <xf numFmtId="43" fontId="5" fillId="0" borderId="0" xfId="1" applyFont="1" applyAlignment="1">
      <alignment horizontal="center" vertical="center"/>
    </xf>
    <xf numFmtId="43" fontId="5" fillId="0" borderId="0" xfId="1" applyFont="1" applyAlignment="1">
      <alignment horizontal="left" vertical="center" wrapText="1"/>
    </xf>
    <xf numFmtId="43" fontId="5" fillId="0" borderId="0" xfId="1" applyFont="1" applyAlignment="1">
      <alignment horizontal="center" vertical="center"/>
    </xf>
    <xf numFmtId="43" fontId="5" fillId="0" borderId="0" xfId="1" applyFont="1"/>
    <xf numFmtId="43" fontId="6" fillId="0" borderId="0" xfId="1" applyFont="1" applyBorder="1" applyAlignment="1">
      <alignment horizontal="justify" vertical="justify" wrapText="1"/>
    </xf>
    <xf numFmtId="0" fontId="6" fillId="0" borderId="2" xfId="1" applyNumberFormat="1" applyFont="1" applyBorder="1" applyAlignment="1">
      <alignment horizontal="justify" vertical="justify" wrapText="1"/>
    </xf>
    <xf numFmtId="0" fontId="6" fillId="0" borderId="3" xfId="1" applyNumberFormat="1" applyFont="1" applyBorder="1" applyAlignment="1">
      <alignment horizontal="justify" vertical="justify" wrapText="1"/>
    </xf>
    <xf numFmtId="0" fontId="6" fillId="0" borderId="8" xfId="1" applyNumberFormat="1" applyFont="1" applyBorder="1" applyAlignment="1">
      <alignment horizontal="justify" vertical="justify" wrapText="1"/>
    </xf>
    <xf numFmtId="0" fontId="6" fillId="0" borderId="0" xfId="1" applyNumberFormat="1" applyFont="1" applyBorder="1" applyAlignment="1">
      <alignment horizontal="justify" vertical="justify" wrapText="1"/>
    </xf>
    <xf numFmtId="0" fontId="6" fillId="0" borderId="5" xfId="1" applyNumberFormat="1" applyFont="1" applyBorder="1" applyAlignment="1">
      <alignment horizontal="justify" vertical="justify" wrapText="1"/>
    </xf>
    <xf numFmtId="0" fontId="6" fillId="0" borderId="6" xfId="1" applyNumberFormat="1" applyFont="1" applyBorder="1" applyAlignment="1">
      <alignment horizontal="justify" vertical="justify" wrapText="1"/>
    </xf>
    <xf numFmtId="0" fontId="6" fillId="0" borderId="4" xfId="1" applyNumberFormat="1" applyFont="1" applyBorder="1" applyAlignment="1">
      <alignment horizontal="justify" vertical="justify" wrapText="1"/>
    </xf>
    <xf numFmtId="0" fontId="6" fillId="0" borderId="9" xfId="1" applyNumberFormat="1" applyFont="1" applyBorder="1" applyAlignment="1">
      <alignment horizontal="justify" vertical="justify" wrapText="1"/>
    </xf>
    <xf numFmtId="0" fontId="6" fillId="0" borderId="7" xfId="1" applyNumberFormat="1" applyFont="1" applyBorder="1" applyAlignment="1">
      <alignment horizontal="justify" vertical="justify" wrapText="1"/>
    </xf>
    <xf numFmtId="43" fontId="5" fillId="0" borderId="11" xfId="1" applyFont="1" applyBorder="1"/>
    <xf numFmtId="43" fontId="5" fillId="0" borderId="1" xfId="1" applyFont="1" applyBorder="1" applyAlignment="1">
      <alignment horizontal="center" vertical="center"/>
    </xf>
    <xf numFmtId="167" fontId="5" fillId="0" borderId="14" xfId="1" applyNumberFormat="1" applyFont="1" applyBorder="1" applyAlignment="1">
      <alignment horizontal="center" vertical="center"/>
    </xf>
    <xf numFmtId="167" fontId="5" fillId="0" borderId="15" xfId="1" applyNumberFormat="1" applyFont="1" applyBorder="1" applyAlignment="1">
      <alignment horizontal="center" vertical="center"/>
    </xf>
    <xf numFmtId="43" fontId="5" fillId="0" borderId="10" xfId="1" applyFont="1" applyBorder="1" applyAlignment="1">
      <alignment horizontal="center" vertical="center"/>
    </xf>
    <xf numFmtId="43" fontId="5" fillId="0" borderId="11" xfId="1" applyFont="1" applyBorder="1" applyAlignment="1">
      <alignment horizontal="center" vertical="center"/>
    </xf>
    <xf numFmtId="43" fontId="5" fillId="0" borderId="10" xfId="1" applyFont="1" applyBorder="1"/>
    <xf numFmtId="43" fontId="5" fillId="0" borderId="14" xfId="1" applyFont="1" applyBorder="1" applyAlignment="1">
      <alignment horizontal="center" vertical="center"/>
    </xf>
    <xf numFmtId="43" fontId="5" fillId="0" borderId="8" xfId="1" applyFont="1" applyBorder="1" applyAlignment="1">
      <alignment horizontal="center" vertical="center"/>
    </xf>
    <xf numFmtId="43" fontId="5" fillId="0" borderId="9" xfId="1" applyFont="1" applyBorder="1" applyAlignment="1">
      <alignment horizontal="center" vertical="center"/>
    </xf>
    <xf numFmtId="43" fontId="5" fillId="0" borderId="15" xfId="1" applyFont="1" applyBorder="1" applyAlignment="1">
      <alignment horizontal="center" vertical="center"/>
    </xf>
    <xf numFmtId="43" fontId="5" fillId="0" borderId="5" xfId="1" applyFont="1" applyBorder="1" applyAlignment="1">
      <alignment horizontal="center" vertical="center"/>
    </xf>
    <xf numFmtId="43" fontId="5" fillId="0" borderId="7" xfId="1" applyFont="1" applyBorder="1" applyAlignment="1">
      <alignment horizontal="center" vertical="center"/>
    </xf>
    <xf numFmtId="0" fontId="5" fillId="0" borderId="2" xfId="1" applyNumberFormat="1" applyFont="1" applyBorder="1" applyAlignment="1">
      <alignment horizontal="justify" vertical="justify" wrapText="1"/>
    </xf>
    <xf numFmtId="0" fontId="5" fillId="0" borderId="3" xfId="1" applyNumberFormat="1" applyFont="1" applyBorder="1" applyAlignment="1">
      <alignment horizontal="justify" vertical="justify" wrapText="1"/>
    </xf>
    <xf numFmtId="0" fontId="5" fillId="0" borderId="4" xfId="1" applyNumberFormat="1" applyFont="1" applyBorder="1" applyAlignment="1">
      <alignment horizontal="justify" vertical="justify" wrapText="1"/>
    </xf>
    <xf numFmtId="0" fontId="5" fillId="0" borderId="8" xfId="1" applyNumberFormat="1" applyFont="1" applyBorder="1" applyAlignment="1">
      <alignment horizontal="justify" vertical="justify" wrapText="1"/>
    </xf>
    <xf numFmtId="0" fontId="5" fillId="0" borderId="0" xfId="1" applyNumberFormat="1" applyFont="1" applyBorder="1" applyAlignment="1">
      <alignment horizontal="justify" vertical="justify" wrapText="1"/>
    </xf>
    <xf numFmtId="0" fontId="5" fillId="0" borderId="9" xfId="1" applyNumberFormat="1" applyFont="1" applyBorder="1" applyAlignment="1">
      <alignment horizontal="justify" vertical="justify" wrapText="1"/>
    </xf>
    <xf numFmtId="0" fontId="5" fillId="0" borderId="5" xfId="1" applyNumberFormat="1" applyFont="1" applyBorder="1" applyAlignment="1">
      <alignment horizontal="justify" vertical="justify" wrapText="1"/>
    </xf>
    <xf numFmtId="0" fontId="5" fillId="0" borderId="6" xfId="1" applyNumberFormat="1" applyFont="1" applyBorder="1" applyAlignment="1">
      <alignment horizontal="justify" vertical="justify" wrapText="1"/>
    </xf>
    <xf numFmtId="0" fontId="5" fillId="0" borderId="7" xfId="1" applyNumberFormat="1" applyFont="1" applyBorder="1" applyAlignment="1">
      <alignment horizontal="justify" vertical="justify" wrapText="1"/>
    </xf>
    <xf numFmtId="167" fontId="5" fillId="0" borderId="0" xfId="1" applyNumberFormat="1" applyFont="1" applyBorder="1" applyAlignment="1">
      <alignment horizontal="center" vertical="center"/>
    </xf>
    <xf numFmtId="43" fontId="5" fillId="0" borderId="0" xfId="1" applyFont="1" applyBorder="1" applyAlignment="1">
      <alignment horizontal="center" vertical="center"/>
    </xf>
    <xf numFmtId="167" fontId="5" fillId="0" borderId="1" xfId="1" applyNumberFormat="1" applyFont="1" applyBorder="1" applyAlignment="1">
      <alignment horizontal="center" vertical="center"/>
    </xf>
    <xf numFmtId="43" fontId="5" fillId="0" borderId="1" xfId="1" applyFont="1" applyBorder="1" applyAlignment="1">
      <alignment horizontal="center" vertical="center"/>
    </xf>
    <xf numFmtId="10" fontId="5" fillId="0" borderId="1" xfId="1" applyNumberFormat="1" applyFont="1" applyBorder="1" applyAlignment="1">
      <alignment horizontal="center" vertical="center"/>
    </xf>
    <xf numFmtId="43" fontId="6" fillId="0" borderId="10" xfId="1" applyFont="1" applyBorder="1" applyAlignment="1">
      <alignment horizontal="center" vertical="center"/>
    </xf>
    <xf numFmtId="43" fontId="6" fillId="0" borderId="12" xfId="1" applyFont="1" applyBorder="1" applyAlignment="1">
      <alignment horizontal="center" vertical="center"/>
    </xf>
    <xf numFmtId="43" fontId="6" fillId="0" borderId="11" xfId="1" applyFont="1" applyBorder="1" applyAlignment="1">
      <alignment horizontal="center" vertical="center"/>
    </xf>
    <xf numFmtId="43" fontId="5" fillId="0" borderId="10" xfId="1" applyFont="1" applyBorder="1" applyAlignment="1">
      <alignment horizontal="center" vertical="center" wrapText="1"/>
    </xf>
    <xf numFmtId="43" fontId="5" fillId="0" borderId="11" xfId="1" applyFont="1" applyBorder="1" applyAlignment="1">
      <alignment horizontal="center" vertical="center" wrapText="1"/>
    </xf>
    <xf numFmtId="10" fontId="6" fillId="0" borderId="1" xfId="1" applyNumberFormat="1" applyFont="1" applyBorder="1"/>
    <xf numFmtId="43" fontId="5" fillId="0" borderId="2" xfId="1" applyFont="1" applyBorder="1" applyAlignment="1">
      <alignment horizontal="center" vertical="center"/>
    </xf>
    <xf numFmtId="43" fontId="5" fillId="0" borderId="4" xfId="1" applyFont="1" applyBorder="1" applyAlignment="1">
      <alignment horizontal="center" vertical="center"/>
    </xf>
    <xf numFmtId="10" fontId="5" fillId="0" borderId="10" xfId="1" applyNumberFormat="1" applyFont="1" applyBorder="1"/>
    <xf numFmtId="10" fontId="5" fillId="0" borderId="11" xfId="1" applyNumberFormat="1" applyFont="1" applyBorder="1"/>
    <xf numFmtId="43" fontId="6" fillId="0" borderId="10" xfId="1" applyFont="1" applyBorder="1"/>
    <xf numFmtId="43" fontId="6" fillId="0" borderId="11" xfId="1" applyFont="1" applyBorder="1"/>
    <xf numFmtId="43" fontId="6" fillId="0" borderId="1" xfId="1" applyFont="1" applyBorder="1"/>
    <xf numFmtId="0" fontId="4" fillId="0" borderId="1" xfId="0" applyFont="1" applyBorder="1"/>
    <xf numFmtId="10" fontId="4" fillId="0" borderId="1" xfId="0" applyNumberFormat="1" applyFont="1" applyBorder="1"/>
    <xf numFmtId="43" fontId="6" fillId="0" borderId="10" xfId="1" applyFont="1" applyBorder="1" applyAlignment="1">
      <alignment horizontal="right"/>
    </xf>
    <xf numFmtId="43" fontId="6" fillId="0" borderId="12" xfId="1" applyFont="1" applyBorder="1" applyAlignment="1">
      <alignment horizontal="right"/>
    </xf>
    <xf numFmtId="43" fontId="6" fillId="0" borderId="11" xfId="1" applyFont="1" applyBorder="1" applyAlignment="1">
      <alignment horizontal="right"/>
    </xf>
    <xf numFmtId="43" fontId="5" fillId="0" borderId="1" xfId="1" applyFont="1" applyBorder="1"/>
    <xf numFmtId="0" fontId="6" fillId="0" borderId="1" xfId="1" applyNumberFormat="1" applyFont="1" applyBorder="1" applyAlignment="1">
      <alignment horizontal="center" vertical="center"/>
    </xf>
    <xf numFmtId="10" fontId="6" fillId="0" borderId="1" xfId="1" applyNumberFormat="1" applyFont="1" applyBorder="1" applyAlignment="1">
      <alignment horizontal="center" vertical="center"/>
    </xf>
    <xf numFmtId="43" fontId="6" fillId="0" borderId="1" xfId="1" applyFont="1" applyBorder="1" applyAlignment="1">
      <alignment horizontal="center"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11"/>
  <sheetViews>
    <sheetView workbookViewId="0">
      <selection activeCell="C5" sqref="C5"/>
    </sheetView>
  </sheetViews>
  <sheetFormatPr defaultRowHeight="24" x14ac:dyDescent="0.8"/>
  <cols>
    <col min="1" max="1" width="8.88671875" style="1"/>
    <col min="2" max="2" width="15.109375" style="1" bestFit="1" customWidth="1"/>
    <col min="3" max="3" width="12.33203125" style="1" bestFit="1" customWidth="1"/>
    <col min="4" max="16384" width="8.88671875" style="1"/>
  </cols>
  <sheetData>
    <row r="2" spans="2:15" x14ac:dyDescent="0.8">
      <c r="B2" s="69" t="s">
        <v>0</v>
      </c>
      <c r="C2" s="70"/>
      <c r="D2" s="70"/>
      <c r="E2" s="71"/>
    </row>
    <row r="3" spans="2:15" x14ac:dyDescent="0.8">
      <c r="B3" s="72"/>
      <c r="C3" s="73"/>
      <c r="D3" s="73"/>
      <c r="E3" s="74"/>
      <c r="I3" s="75" t="s">
        <v>6</v>
      </c>
      <c r="J3" s="76"/>
      <c r="K3" s="76"/>
      <c r="L3" s="76"/>
      <c r="M3" s="76"/>
      <c r="N3" s="76"/>
      <c r="O3" s="77"/>
    </row>
    <row r="4" spans="2:15" ht="19.2" customHeight="1" x14ac:dyDescent="0.8">
      <c r="I4" s="78"/>
      <c r="J4" s="79"/>
      <c r="K4" s="79"/>
      <c r="L4" s="79"/>
      <c r="M4" s="79"/>
      <c r="N4" s="79"/>
      <c r="O4" s="80"/>
    </row>
    <row r="5" spans="2:15" x14ac:dyDescent="0.8">
      <c r="B5" s="64" t="s">
        <v>1</v>
      </c>
      <c r="C5" s="64">
        <v>384</v>
      </c>
      <c r="I5" s="81"/>
      <c r="J5" s="82"/>
      <c r="K5" s="82"/>
      <c r="L5" s="82"/>
      <c r="M5" s="82"/>
      <c r="N5" s="82"/>
      <c r="O5" s="83"/>
    </row>
    <row r="6" spans="2:15" x14ac:dyDescent="0.8">
      <c r="B6" s="64" t="s">
        <v>2</v>
      </c>
      <c r="C6" s="64">
        <v>269</v>
      </c>
    </row>
    <row r="7" spans="2:15" x14ac:dyDescent="0.8">
      <c r="B7" s="64" t="s">
        <v>3</v>
      </c>
      <c r="C7" s="64">
        <f>+C5*C6</f>
        <v>103296</v>
      </c>
    </row>
    <row r="8" spans="2:15" x14ac:dyDescent="0.8">
      <c r="B8" s="64" t="s">
        <v>4</v>
      </c>
      <c r="C8" s="64">
        <v>21156</v>
      </c>
    </row>
    <row r="9" spans="2:15" x14ac:dyDescent="0.8">
      <c r="B9" s="64" t="s">
        <v>5</v>
      </c>
      <c r="C9" s="64">
        <v>1856</v>
      </c>
    </row>
    <row r="10" spans="2:15" ht="46.2" x14ac:dyDescent="0.8">
      <c r="B10" s="65" t="s">
        <v>119</v>
      </c>
      <c r="C10" s="64">
        <f>+C7+C8-C9</f>
        <v>122596</v>
      </c>
    </row>
    <row r="11" spans="2:15" x14ac:dyDescent="0.8">
      <c r="B11" s="158" t="s">
        <v>180</v>
      </c>
      <c r="C11" s="159">
        <f>+'Birds Equation'!F58</f>
        <v>0.82423881828809631</v>
      </c>
    </row>
  </sheetData>
  <mergeCells count="2">
    <mergeCell ref="B2:E3"/>
    <mergeCell ref="I3:O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44154-4019-4877-B389-A133296568CD}">
  <dimension ref="B1:AG70"/>
  <sheetViews>
    <sheetView topLeftCell="A10" zoomScaleNormal="100" zoomScaleSheetLayoutView="85" workbookViewId="0">
      <pane xSplit="2" topLeftCell="C1" activePane="topRight" state="frozen"/>
      <selection pane="topRight" activeCell="D71" sqref="D71"/>
    </sheetView>
  </sheetViews>
  <sheetFormatPr defaultRowHeight="14.4" x14ac:dyDescent="0.3"/>
  <cols>
    <col min="1" max="1" width="8.88671875" style="2"/>
    <col min="2" max="2" width="27.33203125" style="2" bestFit="1" customWidth="1"/>
    <col min="3" max="3" width="9.109375" customWidth="1"/>
    <col min="4" max="5" width="11.44140625" style="2" customWidth="1"/>
    <col min="6" max="7" width="11.44140625" style="2" bestFit="1" customWidth="1"/>
    <col min="8" max="8" width="12.109375" style="2" bestFit="1" customWidth="1"/>
    <col min="9" max="9" width="8.88671875" style="2" customWidth="1"/>
    <col min="10" max="11" width="10.44140625" style="2" customWidth="1"/>
    <col min="12" max="12" width="11.109375" style="2" customWidth="1"/>
    <col min="13" max="13" width="10.44140625" style="2" customWidth="1"/>
    <col min="14" max="14" width="8.88671875" style="2" customWidth="1"/>
    <col min="15" max="18" width="10.44140625" style="2" customWidth="1"/>
    <col min="19" max="19" width="8.88671875" style="2" customWidth="1"/>
    <col min="20" max="20" width="10.44140625" style="2" customWidth="1"/>
    <col min="21" max="21" width="11.109375" style="2" customWidth="1"/>
    <col min="22" max="23" width="10.44140625" style="2" customWidth="1"/>
    <col min="24" max="24" width="8.88671875" style="2" customWidth="1"/>
    <col min="25" max="28" width="10.44140625" style="2" customWidth="1"/>
    <col min="29" max="29" width="8.88671875" style="2" customWidth="1"/>
    <col min="30" max="33" width="10.44140625" style="2" customWidth="1"/>
    <col min="34" max="16384" width="8.88671875" style="2"/>
  </cols>
  <sheetData>
    <row r="1" spans="2:33" x14ac:dyDescent="0.3">
      <c r="D1" s="3"/>
    </row>
    <row r="2" spans="2:33" x14ac:dyDescent="0.3">
      <c r="B2" s="10" t="s">
        <v>7</v>
      </c>
      <c r="D2" s="3"/>
    </row>
    <row r="3" spans="2:33" x14ac:dyDescent="0.3">
      <c r="D3" s="3"/>
    </row>
    <row r="4" spans="2:33" x14ac:dyDescent="0.3">
      <c r="B4" s="11" t="s">
        <v>23</v>
      </c>
      <c r="D4" s="53">
        <v>2025</v>
      </c>
      <c r="E4" s="12">
        <f>+D4-1</f>
        <v>2024</v>
      </c>
      <c r="F4" s="12">
        <f>+E4-1</f>
        <v>2023</v>
      </c>
      <c r="G4" s="12">
        <f>+F4-1</f>
        <v>2022</v>
      </c>
      <c r="H4" s="13">
        <f>+G4-1</f>
        <v>2021</v>
      </c>
      <c r="J4" s="4" t="s">
        <v>8</v>
      </c>
      <c r="K4" s="4" t="s">
        <v>9</v>
      </c>
      <c r="L4" s="4" t="s">
        <v>10</v>
      </c>
      <c r="M4" s="4" t="s">
        <v>11</v>
      </c>
      <c r="O4" s="4" t="s">
        <v>12</v>
      </c>
      <c r="P4" s="4" t="s">
        <v>13</v>
      </c>
      <c r="Q4" s="4" t="s">
        <v>14</v>
      </c>
      <c r="R4" s="4" t="s">
        <v>15</v>
      </c>
      <c r="T4" s="4" t="s">
        <v>16</v>
      </c>
      <c r="U4" s="4" t="s">
        <v>55</v>
      </c>
      <c r="V4" s="4" t="s">
        <v>17</v>
      </c>
      <c r="W4" s="4" t="s">
        <v>18</v>
      </c>
      <c r="Y4" s="4" t="s">
        <v>19</v>
      </c>
      <c r="Z4" s="4" t="s">
        <v>20</v>
      </c>
      <c r="AA4" s="4" t="s">
        <v>21</v>
      </c>
      <c r="AB4" s="4" t="s">
        <v>22</v>
      </c>
      <c r="AD4" s="4" t="s">
        <v>27</v>
      </c>
      <c r="AE4" s="4" t="s">
        <v>28</v>
      </c>
      <c r="AF4" s="4" t="s">
        <v>29</v>
      </c>
      <c r="AG4" s="4" t="s">
        <v>30</v>
      </c>
    </row>
    <row r="6" spans="2:33" x14ac:dyDescent="0.3">
      <c r="B6" s="40" t="s">
        <v>24</v>
      </c>
      <c r="D6" s="27"/>
      <c r="E6" s="15"/>
      <c r="F6" s="15"/>
      <c r="G6" s="15"/>
      <c r="H6" s="16"/>
    </row>
    <row r="7" spans="2:33" x14ac:dyDescent="0.3">
      <c r="B7" s="41" t="s">
        <v>25</v>
      </c>
      <c r="D7" s="19">
        <f>+SUM(J7:M7)</f>
        <v>301228</v>
      </c>
      <c r="E7" s="17">
        <f>SUM(O7:R7)</f>
        <v>286006</v>
      </c>
      <c r="F7" s="17">
        <f>SUM(T7:W7)</f>
        <v>283818</v>
      </c>
      <c r="G7" s="17">
        <f>SUM(Y7:AB7)</f>
        <v>277172</v>
      </c>
      <c r="H7" s="18">
        <f>SUM(AD7:AG7)</f>
        <v>139543</v>
      </c>
      <c r="J7" s="2">
        <v>73830</v>
      </c>
      <c r="K7" s="2">
        <v>74653</v>
      </c>
      <c r="L7" s="2">
        <v>75474</v>
      </c>
      <c r="M7" s="2">
        <v>77271</v>
      </c>
      <c r="O7" s="2">
        <v>70759</v>
      </c>
      <c r="P7" s="2">
        <v>71325</v>
      </c>
      <c r="Q7" s="2">
        <v>71990</v>
      </c>
      <c r="R7" s="2">
        <v>71932</v>
      </c>
      <c r="T7" s="2">
        <v>68973</v>
      </c>
      <c r="U7" s="2">
        <v>79666</v>
      </c>
      <c r="V7" s="2">
        <v>67650</v>
      </c>
      <c r="W7" s="2">
        <v>67529</v>
      </c>
      <c r="Y7" s="2">
        <v>67970</v>
      </c>
      <c r="Z7" s="2">
        <v>68765</v>
      </c>
      <c r="AA7" s="2">
        <v>69274</v>
      </c>
      <c r="AB7" s="2">
        <v>71163</v>
      </c>
      <c r="AD7" s="2">
        <v>64918</v>
      </c>
      <c r="AE7" s="2">
        <v>40607</v>
      </c>
      <c r="AF7" s="2">
        <v>17664</v>
      </c>
      <c r="AG7" s="2">
        <v>16354</v>
      </c>
    </row>
    <row r="8" spans="2:33" x14ac:dyDescent="0.3">
      <c r="B8" s="42" t="s">
        <v>26</v>
      </c>
      <c r="D8" s="19">
        <f>+SUM(J8:M8)</f>
        <v>3458</v>
      </c>
      <c r="E8" s="17">
        <f>SUM(O8:R8)</f>
        <v>3611</v>
      </c>
      <c r="F8" s="17">
        <f>SUM(T8:W8)</f>
        <v>3613</v>
      </c>
      <c r="G8" s="17">
        <f>SUM(Y8:AB8)</f>
        <v>3525</v>
      </c>
      <c r="H8" s="18">
        <f>SUM(AD8:AG8)</f>
        <v>1969</v>
      </c>
      <c r="J8" s="2">
        <v>564</v>
      </c>
      <c r="K8" s="2">
        <v>1139</v>
      </c>
      <c r="L8" s="2">
        <v>838</v>
      </c>
      <c r="M8" s="2">
        <v>917</v>
      </c>
      <c r="O8" s="2">
        <v>565</v>
      </c>
      <c r="P8" s="2">
        <v>972</v>
      </c>
      <c r="Q8" s="2">
        <v>989</v>
      </c>
      <c r="R8" s="2">
        <v>1085</v>
      </c>
      <c r="T8" s="2">
        <v>925</v>
      </c>
      <c r="U8" s="2">
        <v>629</v>
      </c>
      <c r="V8" s="2">
        <v>898</v>
      </c>
      <c r="W8" s="2">
        <v>1161</v>
      </c>
      <c r="Y8" s="2">
        <v>569</v>
      </c>
      <c r="Z8" s="2">
        <v>927</v>
      </c>
      <c r="AA8" s="2">
        <v>939</v>
      </c>
      <c r="AB8" s="2">
        <v>1090</v>
      </c>
      <c r="AD8" s="2">
        <v>773</v>
      </c>
      <c r="AE8" s="2">
        <v>809</v>
      </c>
      <c r="AF8" s="2">
        <v>222</v>
      </c>
      <c r="AG8" s="2">
        <v>165</v>
      </c>
    </row>
    <row r="9" spans="2:33" x14ac:dyDescent="0.3">
      <c r="B9" s="43" t="s">
        <v>31</v>
      </c>
      <c r="D9" s="20">
        <f>+D7+D8</f>
        <v>304686</v>
      </c>
      <c r="E9" s="21">
        <f t="shared" ref="E9:H9" si="0">+E7+E8</f>
        <v>289617</v>
      </c>
      <c r="F9" s="21">
        <f t="shared" si="0"/>
        <v>287431</v>
      </c>
      <c r="G9" s="21">
        <f t="shared" si="0"/>
        <v>280697</v>
      </c>
      <c r="H9" s="22">
        <f t="shared" si="0"/>
        <v>141512</v>
      </c>
      <c r="J9" s="4">
        <f t="shared" ref="J9:L9" si="1">+J7+J8</f>
        <v>74394</v>
      </c>
      <c r="K9" s="4">
        <f t="shared" si="1"/>
        <v>75792</v>
      </c>
      <c r="L9" s="4">
        <f t="shared" si="1"/>
        <v>76312</v>
      </c>
      <c r="M9" s="4">
        <f>+M7+M8</f>
        <v>78188</v>
      </c>
      <c r="O9" s="4">
        <f t="shared" ref="O9:R9" si="2">+O7+O8</f>
        <v>71324</v>
      </c>
      <c r="P9" s="4">
        <f t="shared" si="2"/>
        <v>72297</v>
      </c>
      <c r="Q9" s="4">
        <f t="shared" si="2"/>
        <v>72979</v>
      </c>
      <c r="R9" s="4">
        <f t="shared" si="2"/>
        <v>73017</v>
      </c>
      <c r="T9" s="4">
        <f t="shared" ref="T9" si="3">+T7+T8</f>
        <v>69898</v>
      </c>
      <c r="U9" s="4">
        <f t="shared" ref="U9" si="4">+U7+U8</f>
        <v>80295</v>
      </c>
      <c r="V9" s="4">
        <f t="shared" ref="V9" si="5">+V7+V8</f>
        <v>68548</v>
      </c>
      <c r="W9" s="4">
        <f t="shared" ref="W9" si="6">+W7+W8</f>
        <v>68690</v>
      </c>
      <c r="Y9" s="4">
        <f t="shared" ref="Y9" si="7">+Y7+Y8</f>
        <v>68539</v>
      </c>
      <c r="Z9" s="4">
        <f t="shared" ref="Z9" si="8">+Z7+Z8</f>
        <v>69692</v>
      </c>
      <c r="AA9" s="4">
        <f t="shared" ref="AA9" si="9">+AA7+AA8</f>
        <v>70213</v>
      </c>
      <c r="AB9" s="4">
        <f t="shared" ref="AB9" si="10">+AB7+AB8</f>
        <v>72253</v>
      </c>
      <c r="AD9" s="4">
        <f t="shared" ref="AD9" si="11">+AD7+AD8</f>
        <v>65691</v>
      </c>
      <c r="AE9" s="4">
        <f t="shared" ref="AE9" si="12">+AE7+AE8</f>
        <v>41416</v>
      </c>
      <c r="AF9" s="4">
        <f t="shared" ref="AF9" si="13">+AF7+AF8</f>
        <v>17886</v>
      </c>
      <c r="AG9" s="4">
        <f t="shared" ref="AG9" si="14">+AG7+AG8</f>
        <v>16519</v>
      </c>
    </row>
    <row r="10" spans="2:33" x14ac:dyDescent="0.3">
      <c r="B10" s="35"/>
      <c r="D10" s="35"/>
      <c r="E10" s="35"/>
      <c r="F10" s="35"/>
      <c r="G10" s="35"/>
      <c r="H10" s="35"/>
      <c r="J10" s="4"/>
      <c r="K10" s="4"/>
      <c r="L10" s="4"/>
      <c r="M10" s="4"/>
      <c r="O10" s="4"/>
      <c r="P10" s="4"/>
      <c r="Q10" s="4"/>
      <c r="R10" s="4"/>
      <c r="T10" s="4"/>
      <c r="U10" s="4"/>
      <c r="V10" s="4"/>
      <c r="W10" s="4"/>
      <c r="Y10" s="4"/>
      <c r="Z10" s="4"/>
      <c r="AA10" s="4"/>
      <c r="AB10" s="4"/>
      <c r="AD10" s="4"/>
      <c r="AE10" s="4"/>
      <c r="AF10" s="4"/>
      <c r="AG10" s="4"/>
    </row>
    <row r="11" spans="2:33" x14ac:dyDescent="0.3">
      <c r="B11" s="35" t="s">
        <v>59</v>
      </c>
      <c r="D11" s="36">
        <f>+(D7-E7)/E7</f>
        <v>5.3222659664482565E-2</v>
      </c>
      <c r="E11" s="36">
        <f>+(E7-F7)/F7</f>
        <v>7.7091657329697201E-3</v>
      </c>
      <c r="F11" s="36">
        <f>+(F7-G7)/G7</f>
        <v>2.3977890984659345E-2</v>
      </c>
      <c r="G11" s="36">
        <f>+(G7-H7)/H7</f>
        <v>0.98628379782575981</v>
      </c>
      <c r="H11" s="35">
        <v>0</v>
      </c>
      <c r="J11" s="4"/>
      <c r="K11" s="4"/>
      <c r="L11" s="4"/>
      <c r="M11" s="4"/>
      <c r="O11" s="4"/>
      <c r="P11" s="4"/>
      <c r="Q11" s="4"/>
      <c r="R11" s="4"/>
      <c r="T11" s="4"/>
      <c r="U11" s="4"/>
      <c r="V11" s="4"/>
      <c r="W11" s="4"/>
      <c r="Y11" s="4"/>
      <c r="Z11" s="4"/>
      <c r="AA11" s="4"/>
      <c r="AB11" s="4"/>
      <c r="AD11" s="4"/>
      <c r="AE11" s="4"/>
      <c r="AF11" s="4"/>
      <c r="AG11" s="4"/>
    </row>
    <row r="12" spans="2:33" x14ac:dyDescent="0.3">
      <c r="B12" s="35" t="s">
        <v>58</v>
      </c>
      <c r="D12" s="57">
        <f>AVERAGE(D11:G11)</f>
        <v>0.26779837855196786</v>
      </c>
      <c r="E12" s="35"/>
      <c r="F12" s="35"/>
      <c r="G12" s="35"/>
      <c r="H12" s="35"/>
      <c r="J12" s="4"/>
      <c r="K12" s="4"/>
      <c r="L12" s="4"/>
      <c r="M12" s="4"/>
      <c r="O12" s="4"/>
      <c r="P12" s="4"/>
      <c r="Q12" s="4"/>
      <c r="R12" s="4"/>
      <c r="T12" s="4"/>
      <c r="U12" s="4"/>
      <c r="V12" s="4"/>
      <c r="W12" s="4"/>
      <c r="Y12" s="4"/>
      <c r="Z12" s="4"/>
      <c r="AA12" s="4"/>
      <c r="AB12" s="4"/>
      <c r="AD12" s="4"/>
      <c r="AE12" s="4"/>
      <c r="AF12" s="4"/>
      <c r="AG12" s="4"/>
    </row>
    <row r="14" spans="2:33" x14ac:dyDescent="0.3">
      <c r="B14" s="40" t="s">
        <v>32</v>
      </c>
      <c r="D14" s="27"/>
      <c r="E14" s="15"/>
      <c r="F14" s="15"/>
      <c r="G14" s="15"/>
      <c r="H14" s="16"/>
    </row>
    <row r="15" spans="2:33" x14ac:dyDescent="0.3">
      <c r="B15" s="42" t="s">
        <v>33</v>
      </c>
      <c r="D15" s="19">
        <f>+SUM(J15:M15)</f>
        <v>38</v>
      </c>
      <c r="E15" s="17">
        <f>SUM(O15:R15)</f>
        <v>0</v>
      </c>
      <c r="F15" s="17">
        <f>SUM(T15:W15)</f>
        <v>0</v>
      </c>
      <c r="G15" s="17">
        <f>SUM(Y15:AB15)</f>
        <v>0</v>
      </c>
      <c r="H15" s="18">
        <f>SUM(AD15:AG15)</f>
        <v>0</v>
      </c>
      <c r="J15" s="2">
        <v>0</v>
      </c>
      <c r="K15" s="2">
        <v>0</v>
      </c>
      <c r="L15" s="2">
        <v>0</v>
      </c>
      <c r="M15" s="2">
        <v>38</v>
      </c>
      <c r="O15" s="2">
        <v>0</v>
      </c>
      <c r="P15" s="2">
        <v>0</v>
      </c>
      <c r="Q15" s="2">
        <v>0</v>
      </c>
      <c r="R15" s="2">
        <v>0</v>
      </c>
      <c r="T15" s="2">
        <v>0</v>
      </c>
      <c r="U15" s="2">
        <v>0</v>
      </c>
      <c r="V15" s="2">
        <v>0</v>
      </c>
      <c r="W15" s="2">
        <v>0</v>
      </c>
      <c r="Y15" s="2">
        <v>0</v>
      </c>
      <c r="Z15" s="2">
        <v>0</v>
      </c>
      <c r="AA15" s="2">
        <v>0</v>
      </c>
      <c r="AB15" s="2">
        <v>0</v>
      </c>
      <c r="AD15" s="2">
        <v>0</v>
      </c>
      <c r="AE15" s="2">
        <v>0</v>
      </c>
      <c r="AF15" s="2">
        <v>0</v>
      </c>
      <c r="AG15" s="2">
        <v>0</v>
      </c>
    </row>
    <row r="16" spans="2:33" x14ac:dyDescent="0.3">
      <c r="B16" s="42" t="s">
        <v>34</v>
      </c>
      <c r="D16" s="19">
        <f>+SUM(J16:M16)</f>
        <v>114450</v>
      </c>
      <c r="E16" s="17">
        <f t="shared" ref="E16:E19" si="15">SUM(O16:R16)</f>
        <v>111499</v>
      </c>
      <c r="F16" s="17">
        <f t="shared" ref="F16:F19" si="16">SUM(T16:W16)</f>
        <v>105908</v>
      </c>
      <c r="G16" s="17">
        <f t="shared" ref="G16:G19" si="17">SUM(Y16:AB16)</f>
        <v>102658</v>
      </c>
      <c r="H16" s="18">
        <f t="shared" ref="H16:H19" si="18">SUM(AD16:AG16)</f>
        <v>51536</v>
      </c>
      <c r="J16" s="2">
        <v>29006</v>
      </c>
      <c r="K16" s="2">
        <v>28925</v>
      </c>
      <c r="L16" s="2">
        <v>28253</v>
      </c>
      <c r="M16" s="2">
        <v>28266</v>
      </c>
      <c r="O16" s="2">
        <v>28264</v>
      </c>
      <c r="P16" s="2">
        <v>28554</v>
      </c>
      <c r="Q16" s="2">
        <v>27956</v>
      </c>
      <c r="R16" s="2">
        <v>26725</v>
      </c>
      <c r="T16" s="2">
        <v>26915</v>
      </c>
      <c r="U16" s="2">
        <v>27177</v>
      </c>
      <c r="V16" s="2">
        <v>26220</v>
      </c>
      <c r="W16" s="2">
        <v>25596</v>
      </c>
      <c r="Y16" s="2">
        <v>26463</v>
      </c>
      <c r="Z16" s="2">
        <v>26511</v>
      </c>
      <c r="AA16" s="2">
        <v>25676</v>
      </c>
      <c r="AB16" s="2">
        <v>24008</v>
      </c>
      <c r="AD16" s="2">
        <v>23745</v>
      </c>
      <c r="AE16" s="2">
        <v>15353</v>
      </c>
      <c r="AF16" s="2">
        <v>6629</v>
      </c>
      <c r="AG16" s="2">
        <v>5809</v>
      </c>
    </row>
    <row r="17" spans="2:33" x14ac:dyDescent="0.3">
      <c r="B17" s="42" t="s">
        <v>35</v>
      </c>
      <c r="D17" s="19">
        <f>+SUM(J17:M17)</f>
        <v>8414</v>
      </c>
      <c r="E17" s="17">
        <f t="shared" si="15"/>
        <v>7823</v>
      </c>
      <c r="F17" s="17">
        <f t="shared" si="16"/>
        <v>7741</v>
      </c>
      <c r="G17" s="17">
        <f t="shared" si="17"/>
        <v>7722</v>
      </c>
      <c r="H17" s="18">
        <f t="shared" si="18"/>
        <v>5126</v>
      </c>
      <c r="J17" s="2">
        <v>1971</v>
      </c>
      <c r="K17" s="2">
        <v>2073</v>
      </c>
      <c r="L17" s="2">
        <v>2167</v>
      </c>
      <c r="M17" s="2">
        <v>2203</v>
      </c>
      <c r="O17" s="2">
        <v>1850</v>
      </c>
      <c r="P17" s="2">
        <v>1957</v>
      </c>
      <c r="Q17" s="2">
        <v>1985</v>
      </c>
      <c r="R17" s="2">
        <v>2031</v>
      </c>
      <c r="T17" s="2">
        <v>1834</v>
      </c>
      <c r="U17" s="2">
        <v>1957</v>
      </c>
      <c r="V17" s="2">
        <v>2000</v>
      </c>
      <c r="W17" s="2">
        <v>1950</v>
      </c>
      <c r="Y17" s="2">
        <v>1872</v>
      </c>
      <c r="Z17" s="2">
        <v>1848</v>
      </c>
      <c r="AA17" s="2">
        <v>1943</v>
      </c>
      <c r="AB17" s="2">
        <v>2059</v>
      </c>
      <c r="AD17" s="2">
        <v>1774</v>
      </c>
      <c r="AE17" s="2">
        <v>1674</v>
      </c>
      <c r="AF17" s="2">
        <v>838</v>
      </c>
      <c r="AG17" s="2">
        <v>840</v>
      </c>
    </row>
    <row r="18" spans="2:33" x14ac:dyDescent="0.3">
      <c r="B18" s="42" t="s">
        <v>36</v>
      </c>
      <c r="D18" s="19">
        <f>+SUM(J18:M18)</f>
        <v>14410</v>
      </c>
      <c r="E18" s="17">
        <f t="shared" si="15"/>
        <v>13991</v>
      </c>
      <c r="F18" s="17">
        <f t="shared" si="16"/>
        <v>13506</v>
      </c>
      <c r="G18" s="17">
        <f t="shared" si="17"/>
        <v>13467</v>
      </c>
      <c r="H18" s="18">
        <f t="shared" si="18"/>
        <v>7246</v>
      </c>
      <c r="J18" s="2">
        <v>3592</v>
      </c>
      <c r="K18" s="2">
        <v>3832</v>
      </c>
      <c r="L18" s="2">
        <v>3612</v>
      </c>
      <c r="M18" s="2">
        <v>3374</v>
      </c>
      <c r="O18" s="2">
        <v>3357</v>
      </c>
      <c r="P18" s="2">
        <v>3498</v>
      </c>
      <c r="Q18" s="2">
        <v>3603</v>
      </c>
      <c r="R18" s="2">
        <v>3533</v>
      </c>
      <c r="T18" s="2">
        <v>3368</v>
      </c>
      <c r="U18" s="2">
        <v>3335</v>
      </c>
      <c r="V18" s="2">
        <v>3394</v>
      </c>
      <c r="W18" s="2">
        <v>3409</v>
      </c>
      <c r="Y18" s="2">
        <v>3300</v>
      </c>
      <c r="Z18" s="2">
        <v>3340</v>
      </c>
      <c r="AA18" s="2">
        <v>3386</v>
      </c>
      <c r="AB18" s="2">
        <v>3441</v>
      </c>
      <c r="AD18" s="2">
        <v>3719</v>
      </c>
      <c r="AE18" s="2">
        <v>2210</v>
      </c>
      <c r="AF18" s="2">
        <v>709</v>
      </c>
      <c r="AG18" s="2">
        <v>608</v>
      </c>
    </row>
    <row r="19" spans="2:33" x14ac:dyDescent="0.3">
      <c r="B19" s="42" t="s">
        <v>37</v>
      </c>
      <c r="D19" s="19">
        <f>+SUM(J19:M19)</f>
        <v>-44531</v>
      </c>
      <c r="E19" s="17">
        <f t="shared" si="15"/>
        <v>5754</v>
      </c>
      <c r="F19" s="17">
        <f t="shared" si="16"/>
        <v>58993</v>
      </c>
      <c r="G19" s="17">
        <f t="shared" si="17"/>
        <v>3896</v>
      </c>
      <c r="H19" s="18">
        <f t="shared" si="18"/>
        <v>3036</v>
      </c>
      <c r="J19" s="2">
        <v>-6192</v>
      </c>
      <c r="K19" s="2">
        <v>-9248</v>
      </c>
      <c r="L19" s="9">
        <v>-28529</v>
      </c>
      <c r="M19" s="2">
        <v>-562</v>
      </c>
      <c r="O19" s="2">
        <v>2150</v>
      </c>
      <c r="P19" s="2">
        <v>2757</v>
      </c>
      <c r="Q19" s="2">
        <v>2230</v>
      </c>
      <c r="R19" s="2">
        <v>-1383</v>
      </c>
      <c r="T19" s="2">
        <v>13634</v>
      </c>
      <c r="U19" s="2">
        <v>19073</v>
      </c>
      <c r="V19" s="2">
        <v>24178</v>
      </c>
      <c r="W19" s="2">
        <v>2108</v>
      </c>
      <c r="Y19" s="2">
        <v>1050</v>
      </c>
      <c r="Z19" s="2">
        <v>661</v>
      </c>
      <c r="AA19" s="2">
        <v>1228</v>
      </c>
      <c r="AB19" s="2">
        <v>957</v>
      </c>
      <c r="AD19" s="2">
        <v>1556</v>
      </c>
      <c r="AE19" s="2">
        <v>543</v>
      </c>
      <c r="AF19" s="2">
        <v>417</v>
      </c>
      <c r="AG19" s="2">
        <v>520</v>
      </c>
    </row>
    <row r="20" spans="2:33" x14ac:dyDescent="0.3">
      <c r="B20" s="43" t="s">
        <v>38</v>
      </c>
      <c r="D20" s="20">
        <f>+SUM(D15:D19)</f>
        <v>92781</v>
      </c>
      <c r="E20" s="21">
        <f t="shared" ref="E20:H20" si="19">+SUM(E15:E19)</f>
        <v>139067</v>
      </c>
      <c r="F20" s="21">
        <f t="shared" si="19"/>
        <v>186148</v>
      </c>
      <c r="G20" s="21">
        <f t="shared" si="19"/>
        <v>127743</v>
      </c>
      <c r="H20" s="22">
        <f t="shared" si="19"/>
        <v>66944</v>
      </c>
      <c r="J20" s="4">
        <f t="shared" ref="J20:L20" si="20">+SUM(J15:J19)</f>
        <v>28377</v>
      </c>
      <c r="K20" s="4">
        <f t="shared" si="20"/>
        <v>25582</v>
      </c>
      <c r="L20" s="4">
        <f t="shared" si="20"/>
        <v>5503</v>
      </c>
      <c r="M20" s="4">
        <f>+SUM(M15:M19)</f>
        <v>33319</v>
      </c>
      <c r="O20" s="4">
        <f t="shared" ref="O20:R20" si="21">+SUM(O15:O19)</f>
        <v>35621</v>
      </c>
      <c r="P20" s="4">
        <f t="shared" si="21"/>
        <v>36766</v>
      </c>
      <c r="Q20" s="4">
        <f t="shared" si="21"/>
        <v>35774</v>
      </c>
      <c r="R20" s="4">
        <f t="shared" si="21"/>
        <v>30906</v>
      </c>
      <c r="T20" s="4">
        <f t="shared" ref="T20" si="22">+SUM(T15:T19)</f>
        <v>45751</v>
      </c>
      <c r="U20" s="4">
        <f t="shared" ref="U20" si="23">+SUM(U15:U19)</f>
        <v>51542</v>
      </c>
      <c r="V20" s="4">
        <f t="shared" ref="V20" si="24">+SUM(V15:V19)</f>
        <v>55792</v>
      </c>
      <c r="W20" s="4">
        <f t="shared" ref="W20" si="25">+SUM(W15:W19)</f>
        <v>33063</v>
      </c>
      <c r="Y20" s="4">
        <f t="shared" ref="Y20" si="26">+SUM(Y15:Y19)</f>
        <v>32685</v>
      </c>
      <c r="Z20" s="4">
        <f t="shared" ref="Z20" si="27">+SUM(Z15:Z19)</f>
        <v>32360</v>
      </c>
      <c r="AA20" s="4">
        <f t="shared" ref="AA20" si="28">+SUM(AA15:AA19)</f>
        <v>32233</v>
      </c>
      <c r="AB20" s="4">
        <f t="shared" ref="AB20" si="29">+SUM(AB15:AB19)</f>
        <v>30465</v>
      </c>
      <c r="AD20" s="4">
        <f t="shared" ref="AD20" si="30">+SUM(AD15:AD19)</f>
        <v>30794</v>
      </c>
      <c r="AE20" s="4">
        <f t="shared" ref="AE20" si="31">+SUM(AE15:AE19)</f>
        <v>19780</v>
      </c>
      <c r="AF20" s="4">
        <f t="shared" ref="AF20" si="32">+SUM(AF15:AF19)</f>
        <v>8593</v>
      </c>
      <c r="AG20" s="4">
        <f t="shared" ref="AG20" si="33">+SUM(AG15:AG19)</f>
        <v>7777</v>
      </c>
    </row>
    <row r="22" spans="2:33" x14ac:dyDescent="0.3">
      <c r="B22" s="4" t="s">
        <v>61</v>
      </c>
      <c r="D22" s="7">
        <f>+(D20-E20)/E20</f>
        <v>-0.33283237576132368</v>
      </c>
      <c r="E22" s="7">
        <f>+(E20-F20)/F20</f>
        <v>-0.25292240582762104</v>
      </c>
      <c r="F22" s="7">
        <f>+(F20-G20)/G20</f>
        <v>0.45720704852712085</v>
      </c>
      <c r="G22" s="7">
        <f>+(G20-H20)/H20</f>
        <v>0.9082068594646272</v>
      </c>
      <c r="H22" s="4">
        <v>0</v>
      </c>
    </row>
    <row r="23" spans="2:33" x14ac:dyDescent="0.3">
      <c r="B23" s="4" t="s">
        <v>60</v>
      </c>
      <c r="D23" s="58">
        <f>AVERAGE(D22:G22)</f>
        <v>0.1949147816007008</v>
      </c>
      <c r="E23" s="4"/>
      <c r="F23" s="4"/>
      <c r="G23" s="4"/>
      <c r="H23" s="4"/>
    </row>
    <row r="24" spans="2:33" x14ac:dyDescent="0.3">
      <c r="B24" s="4"/>
      <c r="D24" s="7"/>
      <c r="E24" s="4"/>
      <c r="F24" s="4"/>
      <c r="G24" s="4"/>
      <c r="H24" s="4"/>
    </row>
    <row r="25" spans="2:33" x14ac:dyDescent="0.3">
      <c r="B25" s="4" t="s">
        <v>64</v>
      </c>
      <c r="D25" s="7">
        <f>+D20/D9</f>
        <v>0.30451349914338038</v>
      </c>
      <c r="E25" s="7">
        <f>+E20/E9</f>
        <v>0.48017554218157082</v>
      </c>
      <c r="F25" s="7">
        <f>+F20/F9</f>
        <v>0.64762673476416954</v>
      </c>
      <c r="G25" s="7">
        <f>+G20/G9</f>
        <v>0.45509214562321648</v>
      </c>
      <c r="H25" s="7">
        <f>+H20/H9</f>
        <v>0.47306235513596018</v>
      </c>
    </row>
    <row r="26" spans="2:33" x14ac:dyDescent="0.3">
      <c r="B26" s="4" t="s">
        <v>57</v>
      </c>
      <c r="D26" s="7">
        <f>+AVERAGE(D25:H25)</f>
        <v>0.47209405536965948</v>
      </c>
      <c r="E26" s="7"/>
      <c r="F26" s="7"/>
      <c r="G26" s="7"/>
      <c r="H26" s="7"/>
    </row>
    <row r="28" spans="2:33" ht="27.6" customHeight="1" x14ac:dyDescent="0.3">
      <c r="B28" s="44" t="s">
        <v>39</v>
      </c>
      <c r="D28" s="14">
        <f>+D9-D20</f>
        <v>211905</v>
      </c>
      <c r="E28" s="23">
        <f t="shared" ref="E28:H28" si="34">+E9-E20</f>
        <v>150550</v>
      </c>
      <c r="F28" s="23">
        <f t="shared" si="34"/>
        <v>101283</v>
      </c>
      <c r="G28" s="23">
        <f t="shared" si="34"/>
        <v>152954</v>
      </c>
      <c r="H28" s="24">
        <f t="shared" si="34"/>
        <v>74568</v>
      </c>
      <c r="J28" s="4">
        <f t="shared" ref="J28:L28" si="35">+J9-J20</f>
        <v>46017</v>
      </c>
      <c r="K28" s="4">
        <f t="shared" si="35"/>
        <v>50210</v>
      </c>
      <c r="L28" s="4">
        <f t="shared" si="35"/>
        <v>70809</v>
      </c>
      <c r="M28" s="4">
        <f>+M9-M20</f>
        <v>44869</v>
      </c>
      <c r="O28" s="4">
        <f t="shared" ref="O28:R28" si="36">+O9-O20</f>
        <v>35703</v>
      </c>
      <c r="P28" s="4">
        <f t="shared" si="36"/>
        <v>35531</v>
      </c>
      <c r="Q28" s="4">
        <f t="shared" si="36"/>
        <v>37205</v>
      </c>
      <c r="R28" s="4">
        <f t="shared" si="36"/>
        <v>42111</v>
      </c>
      <c r="T28" s="4">
        <f t="shared" ref="T28:W28" si="37">+T9-T20</f>
        <v>24147</v>
      </c>
      <c r="U28" s="4">
        <f t="shared" si="37"/>
        <v>28753</v>
      </c>
      <c r="V28" s="4">
        <f t="shared" si="37"/>
        <v>12756</v>
      </c>
      <c r="W28" s="4">
        <f t="shared" si="37"/>
        <v>35627</v>
      </c>
      <c r="Y28" s="4">
        <f t="shared" ref="Y28:AB28" si="38">+Y9-Y20</f>
        <v>35854</v>
      </c>
      <c r="Z28" s="4">
        <f t="shared" si="38"/>
        <v>37332</v>
      </c>
      <c r="AA28" s="4">
        <f t="shared" si="38"/>
        <v>37980</v>
      </c>
      <c r="AB28" s="4">
        <f t="shared" si="38"/>
        <v>41788</v>
      </c>
      <c r="AD28" s="4">
        <f t="shared" ref="AD28:AG28" si="39">+AD9-AD20</f>
        <v>34897</v>
      </c>
      <c r="AE28" s="4">
        <f t="shared" si="39"/>
        <v>21636</v>
      </c>
      <c r="AF28" s="4">
        <f t="shared" si="39"/>
        <v>9293</v>
      </c>
      <c r="AG28" s="4">
        <f t="shared" si="39"/>
        <v>8742</v>
      </c>
    </row>
    <row r="29" spans="2:33" x14ac:dyDescent="0.3">
      <c r="B29" s="45" t="s">
        <v>40</v>
      </c>
      <c r="D29" s="54">
        <f>+D28/D9</f>
        <v>0.69548650085661956</v>
      </c>
      <c r="E29" s="25">
        <f t="shared" ref="E29:H29" si="40">+E28/E9</f>
        <v>0.51982445781842912</v>
      </c>
      <c r="F29" s="25">
        <f t="shared" si="40"/>
        <v>0.35237326523583051</v>
      </c>
      <c r="G29" s="25">
        <f t="shared" si="40"/>
        <v>0.54490785437678346</v>
      </c>
      <c r="H29" s="26">
        <f t="shared" si="40"/>
        <v>0.52693764486403982</v>
      </c>
      <c r="J29" s="7">
        <f t="shared" ref="J29:L29" si="41">+J28/J9</f>
        <v>0.61855794822163079</v>
      </c>
      <c r="K29" s="7">
        <f t="shared" si="41"/>
        <v>0.66247097318978254</v>
      </c>
      <c r="L29" s="7">
        <f t="shared" si="41"/>
        <v>0.92788814341125903</v>
      </c>
      <c r="M29" s="7">
        <f>+M28/M9</f>
        <v>0.57386043894203709</v>
      </c>
      <c r="O29" s="7">
        <f t="shared" ref="O29:R29" si="42">+O28/O9</f>
        <v>0.50057484156805565</v>
      </c>
      <c r="P29" s="7">
        <f t="shared" si="42"/>
        <v>0.49145884338215973</v>
      </c>
      <c r="Q29" s="7">
        <f t="shared" si="42"/>
        <v>0.50980419024650925</v>
      </c>
      <c r="R29" s="7">
        <f t="shared" si="42"/>
        <v>0.57672870701343526</v>
      </c>
      <c r="T29" s="7">
        <f t="shared" ref="T29" si="43">+T28/T9</f>
        <v>0.3454605281982317</v>
      </c>
      <c r="U29" s="7">
        <f t="shared" ref="U29" si="44">+U28/U9</f>
        <v>0.35809203561865621</v>
      </c>
      <c r="V29" s="7">
        <f t="shared" ref="V29" si="45">+V28/V9</f>
        <v>0.18608858026492384</v>
      </c>
      <c r="W29" s="7">
        <f t="shared" ref="W29" si="46">+W28/W9</f>
        <v>0.51866356092589894</v>
      </c>
      <c r="Y29" s="7">
        <f t="shared" ref="Y29" si="47">+Y28/Y9</f>
        <v>0.52311822466041236</v>
      </c>
      <c r="Z29" s="7">
        <f t="shared" ref="Z29" si="48">+Z28/Z9</f>
        <v>0.53567123916661885</v>
      </c>
      <c r="AA29" s="7">
        <f t="shared" ref="AA29" si="49">+AA28/AA9</f>
        <v>0.54092546964237387</v>
      </c>
      <c r="AB29" s="7">
        <f t="shared" ref="AB29" si="50">+AB28/AB9</f>
        <v>0.57835660803011635</v>
      </c>
      <c r="AD29" s="7">
        <f t="shared" ref="AD29" si="51">+AD28/AD9</f>
        <v>0.53122954438203107</v>
      </c>
      <c r="AE29" s="7">
        <f t="shared" ref="AE29" si="52">+AE28/AE9</f>
        <v>0.52240679930461653</v>
      </c>
      <c r="AF29" s="7">
        <f t="shared" ref="AF29" si="53">+AF28/AF9</f>
        <v>0.51956837750195684</v>
      </c>
      <c r="AG29" s="7">
        <f t="shared" ref="AG29" si="54">+AG28/AG9</f>
        <v>0.52920878987832198</v>
      </c>
    </row>
    <row r="30" spans="2:33" x14ac:dyDescent="0.3">
      <c r="B30" s="56"/>
      <c r="D30" s="36"/>
      <c r="E30" s="36"/>
      <c r="F30" s="36"/>
      <c r="G30" s="36"/>
      <c r="H30" s="36"/>
      <c r="J30" s="7"/>
      <c r="K30" s="7"/>
      <c r="L30" s="7"/>
      <c r="M30" s="7"/>
      <c r="O30" s="7"/>
      <c r="P30" s="7"/>
      <c r="Q30" s="7"/>
      <c r="R30" s="7"/>
      <c r="T30" s="7"/>
      <c r="U30" s="7"/>
      <c r="V30" s="7"/>
      <c r="W30" s="7"/>
      <c r="Y30" s="7"/>
      <c r="Z30" s="7"/>
      <c r="AA30" s="7"/>
      <c r="AB30" s="7"/>
      <c r="AD30" s="7"/>
      <c r="AE30" s="7"/>
      <c r="AF30" s="7"/>
      <c r="AG30" s="7"/>
    </row>
    <row r="31" spans="2:33" x14ac:dyDescent="0.3">
      <c r="B31" s="56" t="s">
        <v>66</v>
      </c>
      <c r="D31" s="36">
        <f>AVERAGE(D29:H29)</f>
        <v>0.52790594463034046</v>
      </c>
      <c r="E31" s="36"/>
      <c r="F31" s="36"/>
      <c r="G31" s="36"/>
      <c r="H31" s="36"/>
      <c r="J31" s="7"/>
      <c r="K31" s="7"/>
      <c r="L31" s="7"/>
      <c r="M31" s="7"/>
      <c r="O31" s="7"/>
      <c r="P31" s="7"/>
      <c r="Q31" s="7"/>
      <c r="R31" s="7"/>
      <c r="T31" s="7"/>
      <c r="U31" s="7"/>
      <c r="V31" s="7"/>
      <c r="W31" s="7"/>
      <c r="Y31" s="7"/>
      <c r="Z31" s="7"/>
      <c r="AA31" s="7"/>
      <c r="AB31" s="7"/>
      <c r="AD31" s="7"/>
      <c r="AE31" s="7"/>
      <c r="AF31" s="7"/>
      <c r="AG31" s="7"/>
    </row>
    <row r="32" spans="2:33" x14ac:dyDescent="0.3">
      <c r="B32" s="56" t="s">
        <v>65</v>
      </c>
      <c r="D32" s="36">
        <f>+(D28-E28)/D28</f>
        <v>0.28954012411222008</v>
      </c>
      <c r="E32" s="36">
        <f>+(E28-F28)/E28</f>
        <v>0.32724676187313184</v>
      </c>
      <c r="F32" s="36">
        <f>+(F28-G28)/F28</f>
        <v>-0.51016458833170419</v>
      </c>
      <c r="G32" s="36">
        <f>+(G28-H28)/G28</f>
        <v>0.51248087660342323</v>
      </c>
      <c r="H32" s="35">
        <v>0</v>
      </c>
      <c r="J32" s="7"/>
      <c r="K32" s="7"/>
      <c r="L32" s="7"/>
      <c r="M32" s="7"/>
      <c r="O32" s="7"/>
      <c r="P32" s="7"/>
      <c r="Q32" s="7"/>
      <c r="R32" s="7"/>
      <c r="T32" s="7"/>
      <c r="U32" s="7"/>
      <c r="V32" s="7"/>
      <c r="W32" s="7"/>
      <c r="Y32" s="7"/>
      <c r="Z32" s="7"/>
      <c r="AA32" s="7"/>
      <c r="AB32" s="7"/>
      <c r="AD32" s="7"/>
      <c r="AE32" s="7"/>
      <c r="AF32" s="7"/>
      <c r="AG32" s="7"/>
    </row>
    <row r="33" spans="2:33" x14ac:dyDescent="0.3">
      <c r="B33" s="56" t="s">
        <v>57</v>
      </c>
      <c r="D33" s="57">
        <f>+AVERAGE(D32:G32)</f>
        <v>0.15477579356426774</v>
      </c>
      <c r="E33" s="36"/>
      <c r="F33" s="36"/>
      <c r="G33" s="36"/>
      <c r="H33" s="36"/>
      <c r="J33" s="7"/>
      <c r="K33" s="7"/>
      <c r="L33" s="7"/>
      <c r="M33" s="7"/>
      <c r="O33" s="7"/>
      <c r="P33" s="7"/>
      <c r="Q33" s="7"/>
      <c r="R33" s="7"/>
      <c r="T33" s="7"/>
      <c r="U33" s="7"/>
      <c r="V33" s="7"/>
      <c r="W33" s="7"/>
      <c r="Y33" s="7"/>
      <c r="Z33" s="7"/>
      <c r="AA33" s="7"/>
      <c r="AB33" s="7"/>
      <c r="AD33" s="7"/>
      <c r="AE33" s="7"/>
      <c r="AF33" s="7"/>
      <c r="AG33" s="7"/>
    </row>
    <row r="34" spans="2:33" x14ac:dyDescent="0.3">
      <c r="B34" s="56"/>
      <c r="D34" s="36"/>
      <c r="E34" s="36"/>
      <c r="F34" s="36"/>
      <c r="G34" s="36"/>
      <c r="H34" s="36"/>
      <c r="J34" s="7"/>
      <c r="K34" s="7"/>
      <c r="L34" s="7"/>
      <c r="M34" s="7"/>
      <c r="O34" s="7"/>
      <c r="P34" s="7"/>
      <c r="Q34" s="7"/>
      <c r="R34" s="7"/>
      <c r="T34" s="7"/>
      <c r="U34" s="7"/>
      <c r="V34" s="7"/>
      <c r="W34" s="7"/>
      <c r="Y34" s="7"/>
      <c r="Z34" s="7"/>
      <c r="AA34" s="7"/>
      <c r="AB34" s="7"/>
      <c r="AD34" s="7"/>
      <c r="AE34" s="7"/>
      <c r="AF34" s="7"/>
      <c r="AG34" s="7"/>
    </row>
    <row r="35" spans="2:33" x14ac:dyDescent="0.3">
      <c r="B35" s="5"/>
    </row>
    <row r="36" spans="2:33" x14ac:dyDescent="0.3">
      <c r="B36" s="46" t="s">
        <v>41</v>
      </c>
      <c r="D36" s="27">
        <f>+SUM(J36:M36)</f>
        <v>64899</v>
      </c>
      <c r="E36" s="15">
        <f t="shared" ref="E36" si="55">SUM(O36:R36)</f>
        <v>61600</v>
      </c>
      <c r="F36" s="15">
        <f t="shared" ref="F36" si="56">SUM(T36:W36)</f>
        <v>54410</v>
      </c>
      <c r="G36" s="15">
        <f t="shared" ref="G36" si="57">SUM(Y36:AB36)</f>
        <v>54222</v>
      </c>
      <c r="H36" s="16">
        <f t="shared" ref="H36" si="58">SUM(AD36:AG36)</f>
        <v>29913</v>
      </c>
      <c r="J36" s="2">
        <v>15836</v>
      </c>
      <c r="K36" s="2">
        <v>16025</v>
      </c>
      <c r="L36" s="2">
        <v>15902</v>
      </c>
      <c r="M36" s="2">
        <v>17136</v>
      </c>
      <c r="O36" s="2">
        <v>13993</v>
      </c>
      <c r="P36" s="2">
        <v>15529</v>
      </c>
      <c r="Q36" s="2">
        <v>16200</v>
      </c>
      <c r="R36" s="2">
        <v>15878</v>
      </c>
      <c r="T36" s="2">
        <v>13756</v>
      </c>
      <c r="U36" s="2">
        <v>13338</v>
      </c>
      <c r="V36" s="2">
        <v>13904</v>
      </c>
      <c r="W36" s="2">
        <v>13412</v>
      </c>
      <c r="Y36" s="2">
        <v>13418</v>
      </c>
      <c r="Z36" s="2">
        <v>13398</v>
      </c>
      <c r="AA36" s="2">
        <v>13500</v>
      </c>
      <c r="AB36" s="2">
        <v>13906</v>
      </c>
      <c r="AD36" s="2">
        <v>13670</v>
      </c>
      <c r="AE36" s="2">
        <v>10015</v>
      </c>
      <c r="AF36" s="2">
        <v>3146</v>
      </c>
      <c r="AG36" s="2">
        <v>3082</v>
      </c>
    </row>
    <row r="37" spans="2:33" ht="28.2" x14ac:dyDescent="0.3">
      <c r="B37" s="47" t="s">
        <v>42</v>
      </c>
      <c r="D37" s="19">
        <f>+SUM(J37:M37)</f>
        <v>-2678</v>
      </c>
      <c r="E37" s="17">
        <f t="shared" ref="E37" si="59">SUM(O37:R37)</f>
        <v>-1001</v>
      </c>
      <c r="F37" s="17">
        <f t="shared" ref="F37" si="60">SUM(T37:W37)</f>
        <v>-1171</v>
      </c>
      <c r="G37" s="17">
        <f t="shared" ref="G37" si="61">SUM(Y37:AB37)</f>
        <v>-970</v>
      </c>
      <c r="H37" s="18">
        <f t="shared" ref="H37" si="62">SUM(AD37:AG37)</f>
        <v>-1429</v>
      </c>
      <c r="J37" s="2">
        <v>-231</v>
      </c>
      <c r="K37" s="2">
        <v>-224</v>
      </c>
      <c r="L37" s="2">
        <v>-2017</v>
      </c>
      <c r="M37" s="2">
        <v>-206</v>
      </c>
      <c r="O37" s="2">
        <v>-252</v>
      </c>
      <c r="P37" s="2">
        <v>-273</v>
      </c>
      <c r="Q37" s="2">
        <v>-243</v>
      </c>
      <c r="R37" s="2">
        <v>-233</v>
      </c>
      <c r="T37" s="2">
        <v>-363</v>
      </c>
      <c r="U37" s="2">
        <v>-271</v>
      </c>
      <c r="V37" s="2">
        <v>-327</v>
      </c>
      <c r="W37" s="2">
        <v>-210</v>
      </c>
      <c r="Y37" s="2">
        <v>-220</v>
      </c>
      <c r="Z37" s="2">
        <v>-237</v>
      </c>
      <c r="AA37" s="2">
        <v>-256</v>
      </c>
      <c r="AB37" s="2">
        <v>-257</v>
      </c>
      <c r="AD37" s="2">
        <v>-348</v>
      </c>
      <c r="AE37" s="2">
        <v>-883</v>
      </c>
      <c r="AF37" s="2">
        <v>-100</v>
      </c>
      <c r="AG37" s="2">
        <v>-98</v>
      </c>
    </row>
    <row r="38" spans="2:33" x14ac:dyDescent="0.3">
      <c r="B38" s="42"/>
      <c r="D38" s="19"/>
      <c r="E38" s="17"/>
      <c r="F38" s="17"/>
      <c r="G38" s="17"/>
      <c r="H38" s="18"/>
    </row>
    <row r="39" spans="2:33" x14ac:dyDescent="0.3">
      <c r="B39" s="42" t="s">
        <v>43</v>
      </c>
      <c r="D39" s="19">
        <f>+SUM(J39:M39)</f>
        <v>18579</v>
      </c>
      <c r="E39" s="17">
        <f t="shared" ref="E39:E41" si="63">SUM(O39:R39)</f>
        <v>18638</v>
      </c>
      <c r="F39" s="17">
        <f t="shared" ref="F39:F41" si="64">SUM(T39:W39)</f>
        <v>16704</v>
      </c>
      <c r="G39" s="17">
        <f t="shared" ref="G39:G41" si="65">SUM(Y39:AB39)</f>
        <v>16033</v>
      </c>
      <c r="H39" s="18">
        <f t="shared" ref="H39:H41" si="66">SUM(AD39:AG39)</f>
        <v>8364</v>
      </c>
      <c r="J39" s="2">
        <v>4558</v>
      </c>
      <c r="K39" s="2">
        <v>4614</v>
      </c>
      <c r="L39" s="2">
        <v>4616</v>
      </c>
      <c r="M39" s="2">
        <v>4791</v>
      </c>
      <c r="O39" s="2">
        <v>4281</v>
      </c>
      <c r="P39" s="2">
        <v>4586</v>
      </c>
      <c r="Q39" s="2">
        <v>5135</v>
      </c>
      <c r="R39" s="2">
        <v>4636</v>
      </c>
      <c r="T39" s="2">
        <v>3914</v>
      </c>
      <c r="U39" s="2">
        <v>4151</v>
      </c>
      <c r="V39" s="2">
        <v>4481</v>
      </c>
      <c r="W39" s="2">
        <v>4158</v>
      </c>
      <c r="Y39" s="2">
        <v>4111</v>
      </c>
      <c r="Z39" s="2">
        <v>3958</v>
      </c>
      <c r="AA39" s="2">
        <v>3979</v>
      </c>
      <c r="AB39" s="2">
        <v>3985</v>
      </c>
      <c r="AD39" s="2">
        <v>4105</v>
      </c>
      <c r="AE39" s="2">
        <v>2851</v>
      </c>
      <c r="AF39" s="2">
        <v>581</v>
      </c>
      <c r="AG39" s="2">
        <v>827</v>
      </c>
    </row>
    <row r="40" spans="2:33" x14ac:dyDescent="0.3">
      <c r="B40" s="42" t="s">
        <v>44</v>
      </c>
      <c r="D40" s="19">
        <f>+SUM(J40:M40)</f>
        <v>-4179</v>
      </c>
      <c r="E40" s="17">
        <f t="shared" si="63"/>
        <v>-11284</v>
      </c>
      <c r="F40" s="17">
        <f t="shared" si="64"/>
        <v>-2165</v>
      </c>
      <c r="G40" s="17">
        <f t="shared" si="65"/>
        <v>-1060</v>
      </c>
      <c r="H40" s="18">
        <f t="shared" si="66"/>
        <v>-1992</v>
      </c>
      <c r="J40" s="2">
        <v>-476</v>
      </c>
      <c r="K40" s="2">
        <v>-439</v>
      </c>
      <c r="L40" s="2">
        <v>-2070</v>
      </c>
      <c r="M40" s="2">
        <v>-1194</v>
      </c>
      <c r="O40" s="2">
        <v>-765</v>
      </c>
      <c r="P40" s="2">
        <v>-2122</v>
      </c>
      <c r="Q40" s="2">
        <v>-5028</v>
      </c>
      <c r="R40" s="2">
        <v>-3369</v>
      </c>
      <c r="T40" s="2">
        <v>-194</v>
      </c>
      <c r="U40" s="2">
        <v>-227</v>
      </c>
      <c r="V40" s="2">
        <v>-941</v>
      </c>
      <c r="W40" s="2">
        <v>-803</v>
      </c>
      <c r="Y40" s="2">
        <v>-343</v>
      </c>
      <c r="Z40" s="2">
        <v>-293</v>
      </c>
      <c r="AA40" s="2">
        <v>-186</v>
      </c>
      <c r="AB40" s="2">
        <v>-238</v>
      </c>
      <c r="AD40" s="2">
        <v>-488</v>
      </c>
      <c r="AE40" s="2">
        <v>-521</v>
      </c>
      <c r="AF40" s="2">
        <v>-293</v>
      </c>
      <c r="AG40" s="2">
        <v>-690</v>
      </c>
    </row>
    <row r="41" spans="2:33" x14ac:dyDescent="0.3">
      <c r="B41" s="42" t="s">
        <v>45</v>
      </c>
      <c r="D41" s="19">
        <f>+SUM(J41:M41)</f>
        <v>1947</v>
      </c>
      <c r="E41" s="17">
        <f t="shared" si="63"/>
        <v>1373</v>
      </c>
      <c r="F41" s="17">
        <f t="shared" si="64"/>
        <v>984</v>
      </c>
      <c r="G41" s="17">
        <f t="shared" si="65"/>
        <v>422</v>
      </c>
      <c r="H41" s="18">
        <f t="shared" si="66"/>
        <v>806</v>
      </c>
      <c r="J41" s="2">
        <v>412</v>
      </c>
      <c r="K41" s="2">
        <v>433</v>
      </c>
      <c r="L41" s="2">
        <v>390</v>
      </c>
      <c r="M41" s="2">
        <v>712</v>
      </c>
      <c r="O41" s="2">
        <v>343</v>
      </c>
      <c r="P41" s="2">
        <v>344</v>
      </c>
      <c r="Q41" s="2">
        <v>376</v>
      </c>
      <c r="R41" s="2">
        <v>310</v>
      </c>
      <c r="T41" s="2">
        <v>603</v>
      </c>
      <c r="U41" s="2">
        <v>12</v>
      </c>
      <c r="V41" s="2">
        <v>232</v>
      </c>
      <c r="W41" s="2">
        <v>137</v>
      </c>
      <c r="Y41" s="2">
        <v>118</v>
      </c>
      <c r="Z41" s="2">
        <v>172</v>
      </c>
      <c r="AA41" s="2">
        <v>54</v>
      </c>
      <c r="AB41" s="2">
        <v>78</v>
      </c>
      <c r="AD41" s="2">
        <v>1</v>
      </c>
      <c r="AE41" s="2">
        <v>553</v>
      </c>
      <c r="AF41" s="2">
        <v>1</v>
      </c>
      <c r="AG41" s="2">
        <v>251</v>
      </c>
    </row>
    <row r="42" spans="2:33" x14ac:dyDescent="0.3">
      <c r="B42" s="48" t="s">
        <v>46</v>
      </c>
      <c r="D42" s="11">
        <f>+D28-D36-D37-D39-D40-D41</f>
        <v>133337</v>
      </c>
      <c r="E42" s="28">
        <f>+E28-E36-E37-E39-E40-E41</f>
        <v>81224</v>
      </c>
      <c r="F42" s="28">
        <f>+F28-F36-F37-F39-F40-F41</f>
        <v>32521</v>
      </c>
      <c r="G42" s="28">
        <f>+G28-G36-G37-G39-G40-G41</f>
        <v>84307</v>
      </c>
      <c r="H42" s="29">
        <f>+H28-H36-H37-H39-H40-H41</f>
        <v>38906</v>
      </c>
      <c r="J42" s="4">
        <f>+J28-J36-J37-J39-J40-J41</f>
        <v>25918</v>
      </c>
      <c r="K42" s="4">
        <f>+K28-K36-K37-K39-K40-K41</f>
        <v>29801</v>
      </c>
      <c r="L42" s="4">
        <f>+L28-L36-L37-L39-L40-L41</f>
        <v>53988</v>
      </c>
      <c r="M42" s="4">
        <f>+M28-M36-M37-M39-M40-M41</f>
        <v>23630</v>
      </c>
      <c r="O42" s="4">
        <f>+O28-O36-O37-O39-O40-O41</f>
        <v>18103</v>
      </c>
      <c r="P42" s="4">
        <f>+P28-P36-P37-P39-P40-P41</f>
        <v>17467</v>
      </c>
      <c r="Q42" s="4">
        <f>+Q28-Q36-Q37-Q39-Q40-Q41</f>
        <v>20765</v>
      </c>
      <c r="R42" s="4">
        <f>+R28-R36-R37-R39-R40-R41</f>
        <v>24889</v>
      </c>
      <c r="T42" s="4">
        <f>+T28-T36-T37-T39-T40-T41</f>
        <v>6431</v>
      </c>
      <c r="U42" s="4">
        <f>+U28-U36-U37-U39-U40-U41</f>
        <v>11750</v>
      </c>
      <c r="V42" s="4">
        <f>+V28-V36-V37-V39-V40-V41</f>
        <v>-4593</v>
      </c>
      <c r="W42" s="4">
        <f>+W28-W36-W37-W39-W40-W41</f>
        <v>18933</v>
      </c>
      <c r="Y42" s="4">
        <f>+Y28-Y36-Y37-Y39-Y40-Y41</f>
        <v>18770</v>
      </c>
      <c r="Z42" s="4">
        <f>+Z28-Z36-Z37-Z39-Z40-Z41</f>
        <v>20334</v>
      </c>
      <c r="AA42" s="4">
        <f>+AA28-AA36-AA37-AA39-AA40-AA41</f>
        <v>20889</v>
      </c>
      <c r="AB42" s="4">
        <f>+AB28-AB36-AB37-AB39-AB40-AB41</f>
        <v>24314</v>
      </c>
      <c r="AD42" s="4">
        <f>+AD28-AD36-AD37-AD39-AD40-AD41</f>
        <v>17957</v>
      </c>
      <c r="AE42" s="4">
        <f>+AE28-AE36-AE37-AE39-AE40-AE41</f>
        <v>9621</v>
      </c>
      <c r="AF42" s="4">
        <f>+AF28-AF36-AF37-AF39-AF40-AF41</f>
        <v>5958</v>
      </c>
      <c r="AG42" s="4">
        <f>+AG28-AG36-AG37-AG39-AG40-AG41</f>
        <v>5370</v>
      </c>
    </row>
    <row r="43" spans="2:33" x14ac:dyDescent="0.3">
      <c r="B43" s="35"/>
      <c r="D43" s="35"/>
      <c r="E43" s="35"/>
      <c r="F43" s="35"/>
      <c r="G43" s="35"/>
      <c r="H43" s="35"/>
      <c r="J43" s="4"/>
      <c r="K43" s="4"/>
      <c r="L43" s="4"/>
      <c r="M43" s="4"/>
      <c r="O43" s="4"/>
      <c r="P43" s="4"/>
      <c r="Q43" s="4"/>
      <c r="R43" s="4"/>
      <c r="T43" s="4"/>
      <c r="U43" s="4"/>
      <c r="V43" s="4"/>
      <c r="W43" s="4"/>
      <c r="Y43" s="4"/>
      <c r="Z43" s="4"/>
      <c r="AA43" s="4"/>
      <c r="AB43" s="4"/>
      <c r="AD43" s="4"/>
      <c r="AE43" s="4"/>
      <c r="AF43" s="4"/>
      <c r="AG43" s="4"/>
    </row>
    <row r="44" spans="2:33" x14ac:dyDescent="0.3">
      <c r="B44" s="35" t="s">
        <v>67</v>
      </c>
      <c r="D44" s="36">
        <f>+D42/D9</f>
        <v>0.43762102623684712</v>
      </c>
      <c r="E44" s="36">
        <f>+E42/E9</f>
        <v>0.28045315019491257</v>
      </c>
      <c r="F44" s="36">
        <f>+F42/F9</f>
        <v>0.11314367622142357</v>
      </c>
      <c r="G44" s="36">
        <f>+G42/G9</f>
        <v>0.30034877465737075</v>
      </c>
      <c r="H44" s="36">
        <f>+H42/H9</f>
        <v>0.27493074792243766</v>
      </c>
      <c r="J44" s="4"/>
      <c r="K44" s="4"/>
      <c r="L44" s="4"/>
      <c r="M44" s="4"/>
      <c r="O44" s="4"/>
      <c r="P44" s="4"/>
      <c r="Q44" s="4"/>
      <c r="R44" s="4"/>
      <c r="T44" s="4"/>
      <c r="U44" s="4"/>
      <c r="V44" s="4"/>
      <c r="W44" s="4"/>
      <c r="Y44" s="4"/>
      <c r="Z44" s="4"/>
      <c r="AA44" s="4"/>
      <c r="AB44" s="4"/>
      <c r="AD44" s="4"/>
      <c r="AE44" s="4"/>
      <c r="AF44" s="4"/>
      <c r="AG44" s="4"/>
    </row>
    <row r="45" spans="2:33" x14ac:dyDescent="0.3">
      <c r="B45" s="35" t="s">
        <v>57</v>
      </c>
      <c r="D45" s="36">
        <f>+AVERAGE(D44:H44)</f>
        <v>0.28129947504659836</v>
      </c>
      <c r="E45" s="35"/>
      <c r="F45" s="35"/>
      <c r="G45" s="35"/>
      <c r="H45" s="35"/>
      <c r="J45" s="4"/>
      <c r="K45" s="4"/>
      <c r="L45" s="4"/>
      <c r="M45" s="4"/>
      <c r="O45" s="4"/>
      <c r="P45" s="4"/>
      <c r="Q45" s="4"/>
      <c r="R45" s="4"/>
      <c r="T45" s="4"/>
      <c r="U45" s="4"/>
      <c r="V45" s="4"/>
      <c r="W45" s="4"/>
      <c r="Y45" s="4"/>
      <c r="Z45" s="4"/>
      <c r="AA45" s="4"/>
      <c r="AB45" s="4"/>
      <c r="AD45" s="4"/>
      <c r="AE45" s="4"/>
      <c r="AF45" s="4"/>
      <c r="AG45" s="4"/>
    </row>
    <row r="46" spans="2:33" x14ac:dyDescent="0.3">
      <c r="B46" s="35"/>
      <c r="D46" s="36"/>
      <c r="E46" s="35"/>
      <c r="F46" s="35"/>
      <c r="G46" s="35"/>
      <c r="H46" s="35"/>
      <c r="J46" s="4"/>
      <c r="K46" s="4"/>
      <c r="L46" s="4"/>
      <c r="M46" s="4"/>
      <c r="O46" s="4"/>
      <c r="P46" s="4"/>
      <c r="Q46" s="4"/>
      <c r="R46" s="4"/>
      <c r="T46" s="4"/>
      <c r="U46" s="4"/>
      <c r="V46" s="4"/>
      <c r="W46" s="4"/>
      <c r="Y46" s="4"/>
      <c r="Z46" s="4"/>
      <c r="AA46" s="4"/>
      <c r="AB46" s="4"/>
      <c r="AD46" s="4"/>
      <c r="AE46" s="4"/>
      <c r="AF46" s="4"/>
      <c r="AG46" s="4"/>
    </row>
    <row r="47" spans="2:33" x14ac:dyDescent="0.3">
      <c r="B47" s="35" t="s">
        <v>68</v>
      </c>
      <c r="D47" s="36">
        <f>+(D42-E42)/D42</f>
        <v>0.39083675198932027</v>
      </c>
      <c r="E47" s="36">
        <f>+(E42-F42)/E42</f>
        <v>0.59961341475425978</v>
      </c>
      <c r="F47" s="36">
        <f>+(F42-G42)/F42</f>
        <v>-1.592386457980997</v>
      </c>
      <c r="G47" s="36">
        <f>+(G42-H42)/G42</f>
        <v>0.53851993310164048</v>
      </c>
      <c r="H47" s="35">
        <v>0</v>
      </c>
      <c r="J47" s="4"/>
      <c r="K47" s="4"/>
      <c r="L47" s="4"/>
      <c r="M47" s="4"/>
      <c r="O47" s="4"/>
      <c r="P47" s="4"/>
      <c r="Q47" s="4"/>
      <c r="R47" s="4"/>
      <c r="T47" s="4"/>
      <c r="U47" s="4"/>
      <c r="V47" s="4"/>
      <c r="W47" s="4"/>
      <c r="Y47" s="4"/>
      <c r="Z47" s="4"/>
      <c r="AA47" s="4"/>
      <c r="AB47" s="4"/>
      <c r="AD47" s="4"/>
      <c r="AE47" s="4"/>
      <c r="AF47" s="4"/>
      <c r="AG47" s="4"/>
    </row>
    <row r="48" spans="2:33" x14ac:dyDescent="0.3">
      <c r="B48" s="35" t="s">
        <v>57</v>
      </c>
      <c r="D48" s="36">
        <f>+AVERAGE(D47:G47)</f>
        <v>-1.5854089533944099E-2</v>
      </c>
      <c r="E48" s="36"/>
      <c r="F48" s="36"/>
      <c r="G48" s="36"/>
      <c r="H48" s="35"/>
      <c r="J48" s="4"/>
      <c r="K48" s="4"/>
      <c r="L48" s="4"/>
      <c r="M48" s="4"/>
      <c r="O48" s="4"/>
      <c r="P48" s="4"/>
      <c r="Q48" s="4"/>
      <c r="R48" s="4"/>
      <c r="T48" s="4"/>
      <c r="U48" s="4"/>
      <c r="V48" s="4"/>
      <c r="W48" s="4"/>
      <c r="Y48" s="4"/>
      <c r="Z48" s="4"/>
      <c r="AA48" s="4"/>
      <c r="AB48" s="4"/>
      <c r="AD48" s="4"/>
      <c r="AE48" s="4"/>
      <c r="AF48" s="4"/>
      <c r="AG48" s="4"/>
    </row>
    <row r="50" spans="2:33" x14ac:dyDescent="0.3">
      <c r="B50" s="46" t="s">
        <v>54</v>
      </c>
      <c r="D50" s="27">
        <f>+SUM(J50:M50)</f>
        <v>0</v>
      </c>
      <c r="E50" s="15">
        <f>SUM(O50:R50)</f>
        <v>0</v>
      </c>
      <c r="F50" s="15">
        <f>SUM(T50:W50)</f>
        <v>-4928</v>
      </c>
      <c r="G50" s="15">
        <f>SUM(Y50:AB50)</f>
        <v>0</v>
      </c>
      <c r="H50" s="16">
        <f t="shared" ref="H50" si="67">SUM(AD50:AG50)</f>
        <v>0</v>
      </c>
      <c r="T50" s="2">
        <v>0</v>
      </c>
      <c r="U50" s="2">
        <v>0</v>
      </c>
      <c r="V50" s="2">
        <v>-4928</v>
      </c>
      <c r="Y50" s="2">
        <v>0</v>
      </c>
      <c r="Z50" s="2">
        <v>0</v>
      </c>
      <c r="AA50" s="2">
        <v>0</v>
      </c>
      <c r="AB50" s="2">
        <v>0</v>
      </c>
      <c r="AE50" s="2">
        <v>0</v>
      </c>
      <c r="AF50" s="2">
        <v>0</v>
      </c>
      <c r="AG50" s="2">
        <v>0</v>
      </c>
    </row>
    <row r="51" spans="2:33" x14ac:dyDescent="0.3">
      <c r="B51" s="49" t="s">
        <v>56</v>
      </c>
      <c r="D51" s="30">
        <f>+SUM(J51:M51)</f>
        <v>0</v>
      </c>
      <c r="E51" s="31">
        <f>SUM(O51:R51)</f>
        <v>0</v>
      </c>
      <c r="F51" s="31">
        <f>SUM(T51:W51)</f>
        <v>0</v>
      </c>
      <c r="G51" s="31">
        <f>SUM(Y51:AB51)</f>
        <v>0</v>
      </c>
      <c r="H51" s="32">
        <f t="shared" ref="H51" si="68">SUM(AD51:AG51)</f>
        <v>8663</v>
      </c>
      <c r="AE51" s="2">
        <v>2761</v>
      </c>
      <c r="AF51" s="2">
        <v>2882</v>
      </c>
      <c r="AG51" s="2">
        <v>3020</v>
      </c>
    </row>
    <row r="53" spans="2:33" x14ac:dyDescent="0.3">
      <c r="B53" s="46" t="s">
        <v>47</v>
      </c>
      <c r="D53" s="27"/>
      <c r="E53" s="15"/>
      <c r="F53" s="15"/>
      <c r="G53" s="15"/>
      <c r="H53" s="16"/>
    </row>
    <row r="54" spans="2:33" x14ac:dyDescent="0.3">
      <c r="B54" s="50" t="s">
        <v>48</v>
      </c>
      <c r="D54" s="19">
        <f>+SUM(J54:M54)</f>
        <v>17405</v>
      </c>
      <c r="E54" s="17">
        <f>SUM(O54:R54)</f>
        <v>19388</v>
      </c>
      <c r="F54" s="17">
        <f>SUM(T54:W54)</f>
        <v>20327</v>
      </c>
      <c r="G54" s="17">
        <f>SUM(Y54:AB54)</f>
        <v>20373</v>
      </c>
      <c r="H54" s="18">
        <f t="shared" ref="H54:H55" si="69">SUM(AD54:AG54)</f>
        <v>9852</v>
      </c>
      <c r="J54" s="2">
        <v>4434</v>
      </c>
      <c r="K54" s="2">
        <v>3998</v>
      </c>
      <c r="L54" s="2">
        <v>4571</v>
      </c>
      <c r="M54" s="2">
        <v>4402</v>
      </c>
      <c r="O54" s="2">
        <v>4747</v>
      </c>
      <c r="P54" s="2">
        <v>4410</v>
      </c>
      <c r="Q54" s="2">
        <v>4508</v>
      </c>
      <c r="R54" s="2">
        <v>5723</v>
      </c>
      <c r="T54" s="2">
        <v>4592</v>
      </c>
      <c r="U54" s="2">
        <v>7037</v>
      </c>
      <c r="V54" s="2">
        <v>4316</v>
      </c>
      <c r="W54" s="2">
        <v>4382</v>
      </c>
      <c r="Y54" s="2">
        <v>4956</v>
      </c>
      <c r="Z54" s="2">
        <v>4732</v>
      </c>
      <c r="AA54" s="2">
        <v>4982</v>
      </c>
      <c r="AB54" s="2">
        <v>5703</v>
      </c>
      <c r="AD54" s="2">
        <v>4159</v>
      </c>
      <c r="AE54" s="2">
        <v>2645</v>
      </c>
      <c r="AF54" s="2">
        <v>1545</v>
      </c>
      <c r="AG54" s="2">
        <v>1503</v>
      </c>
    </row>
    <row r="55" spans="2:33" x14ac:dyDescent="0.3">
      <c r="B55" s="51" t="s">
        <v>49</v>
      </c>
      <c r="D55" s="30">
        <f>+SUM(J55:M55)</f>
        <v>14815</v>
      </c>
      <c r="E55" s="31">
        <f t="shared" ref="E55" si="70">SUM(O55:R55)</f>
        <v>1474</v>
      </c>
      <c r="F55" s="31">
        <f t="shared" ref="F55" si="71">SUM(T55:W55)</f>
        <v>-13134</v>
      </c>
      <c r="G55" s="31">
        <f t="shared" ref="G55" si="72">SUM(Y55:AB55)</f>
        <v>203</v>
      </c>
      <c r="H55" s="32">
        <f t="shared" si="69"/>
        <v>-73</v>
      </c>
      <c r="J55" s="2">
        <v>2225</v>
      </c>
      <c r="K55" s="2">
        <v>3568</v>
      </c>
      <c r="L55" s="2">
        <v>7585</v>
      </c>
      <c r="M55" s="2">
        <v>1437</v>
      </c>
      <c r="O55" s="2">
        <v>-123</v>
      </c>
      <c r="P55" s="2">
        <v>110</v>
      </c>
      <c r="Q55" s="2">
        <v>852</v>
      </c>
      <c r="R55" s="2">
        <v>635</v>
      </c>
      <c r="T55" s="2">
        <v>-2934</v>
      </c>
      <c r="U55" s="2">
        <v>-4005</v>
      </c>
      <c r="V55" s="2">
        <v>-6755</v>
      </c>
      <c r="W55" s="2">
        <v>560</v>
      </c>
      <c r="Y55" s="2">
        <v>-339</v>
      </c>
      <c r="Z55" s="2">
        <v>17</v>
      </c>
      <c r="AA55" s="2">
        <v>199</v>
      </c>
      <c r="AB55" s="2">
        <v>326</v>
      </c>
      <c r="AD55" s="2">
        <v>161</v>
      </c>
      <c r="AE55" s="2">
        <v>-54</v>
      </c>
      <c r="AF55" s="2">
        <v>-31</v>
      </c>
      <c r="AG55" s="2">
        <v>-149</v>
      </c>
    </row>
    <row r="56" spans="2:33" x14ac:dyDescent="0.3">
      <c r="B56" s="37"/>
      <c r="D56" s="17"/>
      <c r="E56" s="17"/>
      <c r="F56" s="17"/>
      <c r="G56" s="17"/>
      <c r="H56" s="17"/>
    </row>
    <row r="57" spans="2:33" x14ac:dyDescent="0.3">
      <c r="B57" s="4" t="s">
        <v>63</v>
      </c>
      <c r="D57" s="36">
        <f>+SUM(D54:D55)/D42</f>
        <v>0.24164335480774279</v>
      </c>
      <c r="E57" s="36">
        <f t="shared" ref="E57:H57" si="73">+SUM(E54:E55)/E42</f>
        <v>0.25684526740864771</v>
      </c>
      <c r="F57" s="36">
        <f t="shared" si="73"/>
        <v>0.22118016051166939</v>
      </c>
      <c r="G57" s="36">
        <f t="shared" si="73"/>
        <v>0.24406039830619047</v>
      </c>
      <c r="H57" s="36">
        <f t="shared" si="73"/>
        <v>0.25134940626124508</v>
      </c>
    </row>
    <row r="58" spans="2:33" x14ac:dyDescent="0.3">
      <c r="B58" s="39" t="s">
        <v>62</v>
      </c>
      <c r="D58" s="36">
        <f>+AVERAGE(D57:H57)</f>
        <v>0.24301571745909908</v>
      </c>
      <c r="E58" s="38"/>
      <c r="F58" s="38"/>
      <c r="G58" s="38"/>
      <c r="H58" s="38"/>
    </row>
    <row r="60" spans="2:33" x14ac:dyDescent="0.3">
      <c r="B60" s="40" t="s">
        <v>50</v>
      </c>
      <c r="D60" s="14">
        <f>+D42-SUM(D54:D55)+D50+D51</f>
        <v>101117</v>
      </c>
      <c r="E60" s="23">
        <f>+E42-SUM(E54:E55)+E50+E51</f>
        <v>60362</v>
      </c>
      <c r="F60" s="23">
        <f>+F42-SUM(F54:F55)+F50+F51</f>
        <v>20400</v>
      </c>
      <c r="G60" s="23">
        <f>+G42-SUM(G54:G55)+G50+G51</f>
        <v>63731</v>
      </c>
      <c r="H60" s="24">
        <f>+H42-SUM(H54:H55)+H50+H51</f>
        <v>37790</v>
      </c>
      <c r="J60" s="4">
        <f t="shared" ref="J60:L60" si="74">+J42-SUM(J54:J55)</f>
        <v>19259</v>
      </c>
      <c r="K60" s="4">
        <f t="shared" si="74"/>
        <v>22235</v>
      </c>
      <c r="L60" s="4">
        <f t="shared" si="74"/>
        <v>41832</v>
      </c>
      <c r="M60" s="4">
        <f>+M42-SUM(M54:M55)</f>
        <v>17791</v>
      </c>
      <c r="O60" s="4">
        <f>+O42-SUM(O54:O55)</f>
        <v>13479</v>
      </c>
      <c r="P60" s="4">
        <f>+P42-SUM(P54:P55)</f>
        <v>12947</v>
      </c>
      <c r="Q60" s="4">
        <f>+Q42-SUM(Q54:Q55)</f>
        <v>15405</v>
      </c>
      <c r="R60" s="4">
        <f>+R42-SUM(R54:R55)</f>
        <v>18531</v>
      </c>
      <c r="T60" s="4">
        <f>+T42-SUM(T54:T55)</f>
        <v>4773</v>
      </c>
      <c r="U60" s="4">
        <f>+U42-SUM(U54:U55)</f>
        <v>8718</v>
      </c>
      <c r="V60" s="4">
        <f>+V42-SUM(V54:V55)+V50</f>
        <v>-7082</v>
      </c>
      <c r="W60" s="4">
        <f>+W42-SUM(W54:W55)</f>
        <v>13991</v>
      </c>
      <c r="Y60" s="4">
        <f>+Y42-SUM(Y54:Y55)</f>
        <v>14153</v>
      </c>
      <c r="Z60" s="4">
        <f>+Z42-SUM(Z54:Z55)</f>
        <v>15585</v>
      </c>
      <c r="AA60" s="4">
        <f>+AA42-SUM(AA54:AA55)</f>
        <v>15708</v>
      </c>
      <c r="AB60" s="4">
        <f>+AB42-SUM(AB54:AB55)</f>
        <v>18285</v>
      </c>
      <c r="AD60" s="4">
        <f>+AD42-SUM(AD54:AD55)</f>
        <v>13637</v>
      </c>
      <c r="AE60" s="4">
        <f>+AE42-SUM(AE54:AE55)+AE51</f>
        <v>9791</v>
      </c>
      <c r="AF60" s="4">
        <f>+AF42-SUM(AF54:AF55)+AF51</f>
        <v>7326</v>
      </c>
      <c r="AG60" s="4">
        <f>+AG42-SUM(AG54:AG55)+AG51</f>
        <v>7036</v>
      </c>
    </row>
    <row r="61" spans="2:33" x14ac:dyDescent="0.3">
      <c r="B61" s="52" t="s">
        <v>51</v>
      </c>
      <c r="D61" s="19">
        <f>+SUM(J61:M61)</f>
        <v>37.370000000000005</v>
      </c>
      <c r="E61" s="17">
        <f t="shared" ref="E61" si="75">SUM(O61:R61)</f>
        <v>22.4</v>
      </c>
      <c r="F61" s="17">
        <f t="shared" ref="F61" si="76">SUM(T61:W61)</f>
        <v>7.5660000000000007</v>
      </c>
      <c r="G61" s="17">
        <f t="shared" ref="G61" si="77">SUM(Y61:AB61)</f>
        <v>23.657000000000004</v>
      </c>
      <c r="H61" s="18">
        <f t="shared" ref="H61" si="78">SUM(AD61:AG61)</f>
        <v>17.765999999999998</v>
      </c>
      <c r="J61" s="2">
        <v>7.15</v>
      </c>
      <c r="K61" s="2">
        <v>8.3000000000000007</v>
      </c>
      <c r="L61" s="2">
        <v>15.17</v>
      </c>
      <c r="M61" s="2">
        <v>6.75</v>
      </c>
      <c r="O61" s="2">
        <v>5</v>
      </c>
      <c r="P61" s="2">
        <v>4.8</v>
      </c>
      <c r="Q61" s="2">
        <v>5.72</v>
      </c>
      <c r="R61" s="2">
        <v>6.88</v>
      </c>
      <c r="T61" s="2">
        <v>1.7709999999999999</v>
      </c>
      <c r="U61" s="2">
        <v>3.2349999999999999</v>
      </c>
      <c r="V61" s="2">
        <v>-2.63</v>
      </c>
      <c r="W61" s="2">
        <v>5.19</v>
      </c>
      <c r="Y61" s="2">
        <v>5.2519999999999998</v>
      </c>
      <c r="Z61" s="2">
        <v>5.7889999999999997</v>
      </c>
      <c r="AA61" s="2">
        <v>5.83</v>
      </c>
      <c r="AB61" s="2">
        <v>6.7859999999999996</v>
      </c>
      <c r="AD61" s="2">
        <v>5.0599999999999996</v>
      </c>
      <c r="AE61" s="2">
        <v>4.9409999999999998</v>
      </c>
      <c r="AF61" s="2">
        <v>3.9609999999999999</v>
      </c>
      <c r="AG61" s="2">
        <v>3.8039999999999998</v>
      </c>
    </row>
    <row r="62" spans="2:33" x14ac:dyDescent="0.3">
      <c r="B62" s="49" t="s">
        <v>52</v>
      </c>
      <c r="D62" s="20">
        <f>+D60/D61</f>
        <v>2705.8335563286055</v>
      </c>
      <c r="E62" s="21">
        <f t="shared" ref="E62:H62" si="79">+E60/E61</f>
        <v>2694.7321428571431</v>
      </c>
      <c r="F62" s="21">
        <f t="shared" si="79"/>
        <v>2696.2727993655826</v>
      </c>
      <c r="G62" s="21">
        <f t="shared" si="79"/>
        <v>2693.9595045863798</v>
      </c>
      <c r="H62" s="22">
        <f t="shared" si="79"/>
        <v>2127.0967015647871</v>
      </c>
      <c r="J62" s="4">
        <f t="shared" ref="J62:L62" si="80">+J60/J61</f>
        <v>2693.5664335664333</v>
      </c>
      <c r="K62" s="4">
        <f t="shared" si="80"/>
        <v>2678.9156626506024</v>
      </c>
      <c r="L62" s="4">
        <f t="shared" si="80"/>
        <v>2757.5477916941331</v>
      </c>
      <c r="M62" s="4">
        <f>+M60/M61</f>
        <v>2635.7037037037039</v>
      </c>
      <c r="O62" s="4">
        <f t="shared" ref="O62:R62" si="81">+O60/O61</f>
        <v>2695.8</v>
      </c>
      <c r="P62" s="4">
        <f t="shared" si="81"/>
        <v>2697.291666666667</v>
      </c>
      <c r="Q62" s="4">
        <f t="shared" si="81"/>
        <v>2693.1818181818185</v>
      </c>
      <c r="R62" s="4">
        <f t="shared" si="81"/>
        <v>2693.4593023255816</v>
      </c>
      <c r="T62" s="4">
        <f t="shared" ref="T62" si="82">+T60/T61</f>
        <v>2695.0875211744778</v>
      </c>
      <c r="U62" s="4">
        <f t="shared" ref="U62" si="83">+U60/U61</f>
        <v>2694.899536321484</v>
      </c>
      <c r="V62" s="4">
        <f t="shared" ref="V62" si="84">+V60/V61</f>
        <v>2692.7756653992396</v>
      </c>
      <c r="W62" s="4">
        <f t="shared" ref="W62" si="85">+W60/W61</f>
        <v>2695.7610789980731</v>
      </c>
      <c r="Y62" s="4">
        <f t="shared" ref="Y62" si="86">+Y60/Y61</f>
        <v>2694.7829398324448</v>
      </c>
      <c r="Z62" s="4">
        <f t="shared" ref="Z62" si="87">+Z60/Z61</f>
        <v>2692.1748143029886</v>
      </c>
      <c r="AA62" s="4">
        <f t="shared" ref="AA62" si="88">+AA60/AA61</f>
        <v>2694.3396226415093</v>
      </c>
      <c r="AB62" s="4">
        <f t="shared" ref="AB62" si="89">+AB60/AB61</f>
        <v>2694.5181255526086</v>
      </c>
      <c r="AD62" s="4">
        <f t="shared" ref="AD62" si="90">+AD60/AD61</f>
        <v>2695.0592885375495</v>
      </c>
      <c r="AE62" s="4">
        <f t="shared" ref="AE62" si="91">+AE60/AE61</f>
        <v>1981.5826755717467</v>
      </c>
      <c r="AF62" s="4">
        <f t="shared" ref="AF62" si="92">+AF60/AF61</f>
        <v>1849.5329462257007</v>
      </c>
      <c r="AG62" s="4">
        <f t="shared" ref="AG62" si="93">+AG60/AG61</f>
        <v>1849.6319663512093</v>
      </c>
    </row>
    <row r="63" spans="2:33" x14ac:dyDescent="0.3">
      <c r="B63" s="17"/>
      <c r="D63" s="35"/>
      <c r="E63" s="35"/>
      <c r="F63" s="35"/>
      <c r="G63" s="35"/>
      <c r="H63" s="35"/>
      <c r="J63" s="4"/>
      <c r="K63" s="4"/>
      <c r="L63" s="4"/>
      <c r="M63" s="4"/>
      <c r="O63" s="4"/>
      <c r="P63" s="4"/>
      <c r="Q63" s="4"/>
      <c r="R63" s="4"/>
      <c r="T63" s="4"/>
      <c r="U63" s="4"/>
      <c r="V63" s="4"/>
      <c r="W63" s="4"/>
      <c r="Y63" s="4"/>
      <c r="Z63" s="4"/>
      <c r="AA63" s="4"/>
      <c r="AB63" s="4"/>
      <c r="AD63" s="4"/>
      <c r="AE63" s="4"/>
      <c r="AF63" s="4"/>
      <c r="AG63" s="4"/>
    </row>
    <row r="64" spans="2:33" x14ac:dyDescent="0.3">
      <c r="B64" s="35" t="s">
        <v>69</v>
      </c>
      <c r="D64" s="36">
        <f>+(D60-E60)/D60</f>
        <v>0.40304795434991147</v>
      </c>
      <c r="E64" s="36">
        <f t="shared" ref="E64:G64" si="94">+(E60-F60)/E60</f>
        <v>0.662039031178556</v>
      </c>
      <c r="F64" s="59">
        <f t="shared" si="94"/>
        <v>-2.1240686274509804</v>
      </c>
      <c r="G64" s="36">
        <f t="shared" si="94"/>
        <v>0.40703896063140388</v>
      </c>
      <c r="H64" s="35">
        <v>0</v>
      </c>
      <c r="J64" s="4"/>
      <c r="K64" s="4"/>
      <c r="L64" s="4"/>
      <c r="M64" s="4"/>
      <c r="O64" s="4"/>
      <c r="P64" s="4"/>
      <c r="Q64" s="4"/>
      <c r="R64" s="4"/>
      <c r="T64" s="4"/>
      <c r="U64" s="4"/>
      <c r="V64" s="4"/>
      <c r="W64" s="4"/>
      <c r="Y64" s="4"/>
      <c r="Z64" s="4"/>
      <c r="AA64" s="4"/>
      <c r="AB64" s="4"/>
      <c r="AD64" s="4"/>
      <c r="AE64" s="4"/>
      <c r="AF64" s="4"/>
      <c r="AG64" s="4"/>
    </row>
    <row r="65" spans="2:33" x14ac:dyDescent="0.3">
      <c r="B65" s="35" t="s">
        <v>57</v>
      </c>
      <c r="D65" s="36">
        <f>+AVERAGE(D64:G64)</f>
        <v>-0.16298567032277725</v>
      </c>
      <c r="E65" s="35"/>
      <c r="F65" s="35"/>
      <c r="G65" s="35"/>
      <c r="H65" s="35"/>
      <c r="J65" s="4"/>
      <c r="K65" s="4"/>
      <c r="L65" s="4"/>
      <c r="M65" s="4"/>
      <c r="O65" s="4"/>
      <c r="P65" s="4"/>
      <c r="Q65" s="4"/>
      <c r="R65" s="4"/>
      <c r="T65" s="4"/>
      <c r="U65" s="4"/>
      <c r="V65" s="4"/>
      <c r="W65" s="4"/>
      <c r="Y65" s="4"/>
      <c r="Z65" s="4"/>
      <c r="AA65" s="4"/>
      <c r="AB65" s="4"/>
      <c r="AD65" s="4"/>
      <c r="AE65" s="4"/>
      <c r="AF65" s="4"/>
      <c r="AG65" s="4"/>
    </row>
    <row r="67" spans="2:33" x14ac:dyDescent="0.3">
      <c r="B67" s="48" t="s">
        <v>53</v>
      </c>
      <c r="D67" s="55">
        <f>+D60/D9</f>
        <v>0.33187281332256813</v>
      </c>
      <c r="E67" s="33">
        <f>+E60/E9</f>
        <v>0.20842008583750263</v>
      </c>
      <c r="F67" s="33">
        <f>+F60/F9</f>
        <v>7.0973555392424614E-2</v>
      </c>
      <c r="G67" s="33">
        <f>+G60/G9</f>
        <v>0.22704553308371661</v>
      </c>
      <c r="H67" s="34">
        <f>+H60/H9</f>
        <v>0.26704449092656452</v>
      </c>
      <c r="J67" s="6">
        <f>+J60/J9</f>
        <v>0.25887840417237951</v>
      </c>
      <c r="K67" s="6">
        <f>+K60/K9</f>
        <v>0.29336869326578002</v>
      </c>
      <c r="L67" s="8">
        <f>+L60/L9</f>
        <v>0.5481706677848831</v>
      </c>
      <c r="M67" s="6">
        <f>+M60/M9</f>
        <v>0.22754131068706196</v>
      </c>
      <c r="O67" s="6">
        <f>+O60/O9</f>
        <v>0.18898267062980204</v>
      </c>
      <c r="P67" s="6">
        <f>+P60/P9</f>
        <v>0.17908073640676653</v>
      </c>
      <c r="Q67" s="6">
        <f>+Q60/Q9</f>
        <v>0.21108812124035681</v>
      </c>
      <c r="R67" s="6">
        <f>+R60/R9</f>
        <v>0.25379021323801304</v>
      </c>
      <c r="T67" s="6">
        <f>+T60/T9</f>
        <v>6.8285215599874105E-2</v>
      </c>
      <c r="U67" s="6">
        <f>+U60/U9</f>
        <v>0.10857463104801046</v>
      </c>
      <c r="V67" s="6">
        <f>+V60/V9</f>
        <v>-0.10331446577580673</v>
      </c>
      <c r="W67" s="6">
        <f>+W60/W9</f>
        <v>0.20368321444169457</v>
      </c>
      <c r="Y67" s="6">
        <f>+Y60/Y9</f>
        <v>0.20649557186419412</v>
      </c>
      <c r="Z67" s="6">
        <f>+Z60/Z9</f>
        <v>0.22362681512942661</v>
      </c>
      <c r="AA67" s="6">
        <f>+AA60/AA9</f>
        <v>0.22371925426915243</v>
      </c>
      <c r="AB67" s="6">
        <f>+AB60/AB9</f>
        <v>0.25306907671653772</v>
      </c>
      <c r="AD67" s="6">
        <f>+AD60/AD9</f>
        <v>0.20759312539008387</v>
      </c>
      <c r="AE67" s="6">
        <f>+AE60/AE9</f>
        <v>0.23640621981842766</v>
      </c>
      <c r="AF67" s="6">
        <f>+AF60/AF9</f>
        <v>0.40959409594095941</v>
      </c>
      <c r="AG67" s="6">
        <f>+AG60/AG9</f>
        <v>0.4259337732308251</v>
      </c>
    </row>
    <row r="68" spans="2:33" x14ac:dyDescent="0.3">
      <c r="B68" s="2" t="s">
        <v>57</v>
      </c>
      <c r="D68" s="7">
        <f>+AVERAGE(D67:H67)</f>
        <v>0.22107129571255529</v>
      </c>
    </row>
    <row r="70" spans="2:33" x14ac:dyDescent="0.3">
      <c r="B70" s="2" t="s">
        <v>178</v>
      </c>
      <c r="D70" s="2">
        <f>+AVERAGE(D62:H62)</f>
        <v>2583.5789409404997</v>
      </c>
    </row>
  </sheetData>
  <pageMargins left="0.7" right="0.7" top="0.75" bottom="0.75" header="0.3" footer="0.3"/>
  <pageSetup scale="55" orientation="portrait" r:id="rId1"/>
  <colBreaks count="2" manualBreakCount="2">
    <brk id="14" max="40" man="1"/>
    <brk id="24" max="40"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AA4A9-0A01-481E-B17D-95B57B60FB8C}">
  <dimension ref="C2:H54"/>
  <sheetViews>
    <sheetView topLeftCell="B1" zoomScaleNormal="100" workbookViewId="0">
      <pane xSplit="2" topLeftCell="D1" activePane="topRight" state="frozen"/>
      <selection activeCell="B1" sqref="B1"/>
      <selection pane="topRight" activeCell="F32" sqref="F32"/>
    </sheetView>
  </sheetViews>
  <sheetFormatPr defaultRowHeight="13.8" x14ac:dyDescent="0.25"/>
  <cols>
    <col min="1" max="2" width="8.88671875" style="2"/>
    <col min="3" max="3" width="25.77734375" style="2" bestFit="1" customWidth="1"/>
    <col min="4" max="8" width="11.44140625" style="2" bestFit="1" customWidth="1"/>
    <col min="9" max="16384" width="8.88671875" style="2"/>
  </cols>
  <sheetData>
    <row r="2" spans="3:8" x14ac:dyDescent="0.25">
      <c r="C2" s="48" t="s">
        <v>70</v>
      </c>
      <c r="D2" s="48" t="s">
        <v>90</v>
      </c>
      <c r="E2" s="48" t="s">
        <v>91</v>
      </c>
      <c r="F2" s="48" t="s">
        <v>92</v>
      </c>
      <c r="G2" s="48" t="s">
        <v>93</v>
      </c>
      <c r="H2" s="48" t="s">
        <v>118</v>
      </c>
    </row>
    <row r="3" spans="3:8" x14ac:dyDescent="0.25">
      <c r="C3" s="42"/>
      <c r="D3" s="42"/>
      <c r="E3" s="42"/>
      <c r="F3" s="42"/>
      <c r="G3" s="42"/>
      <c r="H3" s="42"/>
    </row>
    <row r="4" spans="3:8" x14ac:dyDescent="0.25">
      <c r="C4" s="52" t="s">
        <v>95</v>
      </c>
      <c r="D4" s="42"/>
      <c r="E4" s="42"/>
      <c r="F4" s="42"/>
      <c r="G4" s="42"/>
      <c r="H4" s="42"/>
    </row>
    <row r="5" spans="3:8" x14ac:dyDescent="0.25">
      <c r="C5" s="52" t="s">
        <v>71</v>
      </c>
      <c r="D5" s="42"/>
      <c r="E5" s="42"/>
      <c r="F5" s="42"/>
      <c r="G5" s="42"/>
      <c r="H5" s="42"/>
    </row>
    <row r="6" spans="3:8" x14ac:dyDescent="0.25">
      <c r="C6" s="42" t="s">
        <v>72</v>
      </c>
      <c r="D6" s="42">
        <v>294082</v>
      </c>
      <c r="E6" s="42">
        <v>266493</v>
      </c>
      <c r="F6" s="42">
        <v>211723</v>
      </c>
      <c r="G6" s="42">
        <v>208699</v>
      </c>
      <c r="H6" s="42">
        <v>215819</v>
      </c>
    </row>
    <row r="7" spans="3:8" x14ac:dyDescent="0.25">
      <c r="C7" s="42" t="s">
        <v>73</v>
      </c>
      <c r="D7" s="42">
        <v>149337</v>
      </c>
      <c r="E7" s="42">
        <v>126377</v>
      </c>
      <c r="F7" s="42">
        <v>111882</v>
      </c>
      <c r="G7" s="42">
        <v>109210</v>
      </c>
      <c r="H7" s="42">
        <v>102110</v>
      </c>
    </row>
    <row r="8" spans="3:8" x14ac:dyDescent="0.25">
      <c r="C8" s="42" t="s">
        <v>74</v>
      </c>
      <c r="D8" s="42">
        <v>5672</v>
      </c>
      <c r="E8" s="42">
        <v>4219</v>
      </c>
      <c r="F8" s="42">
        <v>3546</v>
      </c>
      <c r="G8" s="42">
        <v>1787</v>
      </c>
      <c r="H8" s="42">
        <v>2736</v>
      </c>
    </row>
    <row r="9" spans="3:8" x14ac:dyDescent="0.25">
      <c r="C9" s="42" t="s">
        <v>75</v>
      </c>
      <c r="D9" s="42">
        <v>380</v>
      </c>
      <c r="E9" s="42">
        <v>132</v>
      </c>
      <c r="F9" s="42">
        <v>231</v>
      </c>
      <c r="G9" s="42">
        <v>352</v>
      </c>
      <c r="H9" s="42">
        <v>73</v>
      </c>
    </row>
    <row r="10" spans="3:8" x14ac:dyDescent="0.25">
      <c r="C10" s="42" t="s">
        <v>76</v>
      </c>
      <c r="D10" s="42"/>
      <c r="E10" s="42"/>
      <c r="F10" s="42"/>
      <c r="G10" s="42"/>
      <c r="H10" s="42"/>
    </row>
    <row r="11" spans="3:8" x14ac:dyDescent="0.25">
      <c r="C11" s="50" t="s">
        <v>77</v>
      </c>
      <c r="D11" s="42">
        <v>0</v>
      </c>
      <c r="E11" s="42">
        <v>28</v>
      </c>
      <c r="F11" s="42">
        <v>0</v>
      </c>
      <c r="G11" s="42">
        <v>0</v>
      </c>
      <c r="H11" s="42">
        <v>0</v>
      </c>
    </row>
    <row r="12" spans="3:8" x14ac:dyDescent="0.25">
      <c r="C12" s="50" t="s">
        <v>78</v>
      </c>
      <c r="D12" s="42">
        <v>14653</v>
      </c>
      <c r="E12" s="42">
        <v>13233</v>
      </c>
      <c r="F12" s="42">
        <v>11752</v>
      </c>
      <c r="G12" s="42">
        <v>11012</v>
      </c>
      <c r="H12" s="42">
        <v>10533</v>
      </c>
    </row>
    <row r="13" spans="3:8" x14ac:dyDescent="0.25">
      <c r="C13" s="50" t="s">
        <v>94</v>
      </c>
      <c r="D13" s="42">
        <v>8561</v>
      </c>
      <c r="E13" s="42">
        <v>7715</v>
      </c>
      <c r="F13" s="42">
        <v>7251</v>
      </c>
      <c r="G13" s="42">
        <v>6844</v>
      </c>
      <c r="H13" s="42">
        <v>7282</v>
      </c>
    </row>
    <row r="14" spans="3:8" x14ac:dyDescent="0.25">
      <c r="C14" s="50" t="s">
        <v>116</v>
      </c>
      <c r="D14" s="42">
        <v>23</v>
      </c>
      <c r="E14" s="42">
        <v>10756</v>
      </c>
      <c r="F14" s="42">
        <v>12218</v>
      </c>
      <c r="G14" s="42">
        <v>0</v>
      </c>
      <c r="H14" s="42">
        <v>0</v>
      </c>
    </row>
    <row r="15" spans="3:8" x14ac:dyDescent="0.25">
      <c r="C15" s="42" t="s">
        <v>79</v>
      </c>
      <c r="D15" s="42">
        <v>29696</v>
      </c>
      <c r="E15" s="42">
        <v>24823</v>
      </c>
      <c r="F15" s="42">
        <v>20045</v>
      </c>
      <c r="G15" s="42">
        <v>18659</v>
      </c>
      <c r="H15" s="42">
        <v>14586</v>
      </c>
    </row>
    <row r="16" spans="3:8" x14ac:dyDescent="0.25">
      <c r="C16" s="42"/>
      <c r="E16" s="42"/>
      <c r="F16" s="42"/>
      <c r="G16" s="42"/>
      <c r="H16" s="42"/>
    </row>
    <row r="17" spans="3:8" x14ac:dyDescent="0.25">
      <c r="C17" s="52" t="s">
        <v>80</v>
      </c>
      <c r="D17" s="42"/>
      <c r="E17" s="42"/>
      <c r="F17" s="42"/>
      <c r="G17" s="42"/>
      <c r="H17" s="42"/>
    </row>
    <row r="18" spans="3:8" x14ac:dyDescent="0.25">
      <c r="C18" s="42" t="s">
        <v>81</v>
      </c>
      <c r="D18" s="42">
        <v>76</v>
      </c>
      <c r="E18" s="42">
        <v>0</v>
      </c>
      <c r="F18" s="42">
        <v>0</v>
      </c>
      <c r="G18" s="42">
        <v>0</v>
      </c>
      <c r="H18" s="42">
        <v>0</v>
      </c>
    </row>
    <row r="19" spans="3:8" x14ac:dyDescent="0.25">
      <c r="C19" s="42" t="s">
        <v>82</v>
      </c>
      <c r="D19" s="42"/>
      <c r="E19" s="42"/>
      <c r="F19" s="42"/>
      <c r="G19" s="42"/>
      <c r="H19" s="42"/>
    </row>
    <row r="20" spans="3:8" x14ac:dyDescent="0.25">
      <c r="C20" s="50" t="s">
        <v>83</v>
      </c>
      <c r="D20" s="42">
        <v>14861</v>
      </c>
      <c r="E20" s="42">
        <v>0</v>
      </c>
      <c r="F20" s="42">
        <v>2756</v>
      </c>
      <c r="G20" s="42">
        <v>16521</v>
      </c>
      <c r="H20" s="42">
        <v>22714</v>
      </c>
    </row>
    <row r="21" spans="3:8" x14ac:dyDescent="0.25">
      <c r="C21" s="50" t="s">
        <v>84</v>
      </c>
      <c r="D21" s="42">
        <v>47675</v>
      </c>
      <c r="E21" s="42">
        <v>64507</v>
      </c>
      <c r="F21" s="42">
        <v>48687</v>
      </c>
      <c r="G21" s="42">
        <v>70586</v>
      </c>
      <c r="H21" s="42">
        <v>38285</v>
      </c>
    </row>
    <row r="22" spans="3:8" x14ac:dyDescent="0.25">
      <c r="C22" s="50" t="s">
        <v>85</v>
      </c>
      <c r="D22" s="42">
        <v>1497</v>
      </c>
      <c r="E22" s="42">
        <v>631</v>
      </c>
      <c r="F22" s="42">
        <v>224</v>
      </c>
      <c r="G22" s="42">
        <v>9802</v>
      </c>
      <c r="H22" s="42">
        <v>145</v>
      </c>
    </row>
    <row r="23" spans="3:8" x14ac:dyDescent="0.25">
      <c r="C23" s="50" t="s">
        <v>86</v>
      </c>
      <c r="D23" s="42">
        <v>17064</v>
      </c>
      <c r="E23" s="42">
        <v>0</v>
      </c>
      <c r="F23" s="42">
        <v>0</v>
      </c>
      <c r="G23" s="42">
        <v>0</v>
      </c>
      <c r="H23" s="42">
        <v>0</v>
      </c>
    </row>
    <row r="24" spans="3:8" x14ac:dyDescent="0.25">
      <c r="C24" s="50" t="s">
        <v>87</v>
      </c>
      <c r="D24" s="42">
        <v>38839</v>
      </c>
      <c r="E24" s="42">
        <v>35768</v>
      </c>
      <c r="F24" s="42">
        <v>32518</v>
      </c>
      <c r="G24" s="2">
        <v>23755</v>
      </c>
      <c r="H24" s="42">
        <v>29559</v>
      </c>
    </row>
    <row r="25" spans="3:8" x14ac:dyDescent="0.25">
      <c r="C25" s="42" t="s">
        <v>88</v>
      </c>
      <c r="D25" s="42">
        <v>9286</v>
      </c>
      <c r="E25" s="42">
        <v>3994</v>
      </c>
      <c r="F25" s="42">
        <v>2891</v>
      </c>
      <c r="G25" s="42">
        <v>2449</v>
      </c>
      <c r="H25" s="42">
        <v>5595</v>
      </c>
    </row>
    <row r="26" spans="3:8" x14ac:dyDescent="0.25">
      <c r="C26" s="42"/>
      <c r="D26" s="42"/>
      <c r="E26" s="42"/>
      <c r="F26" s="42"/>
      <c r="G26" s="42"/>
      <c r="H26" s="42"/>
    </row>
    <row r="27" spans="3:8" x14ac:dyDescent="0.25">
      <c r="C27" s="48" t="s">
        <v>89</v>
      </c>
      <c r="D27" s="48">
        <f>+SUM(D6:D15)+SUM(D18:D25)</f>
        <v>631702</v>
      </c>
      <c r="E27" s="48">
        <f t="shared" ref="E27:H27" si="0">+SUM(E6:E15)+SUM(E18:E25)</f>
        <v>558676</v>
      </c>
      <c r="F27" s="48">
        <f t="shared" si="0"/>
        <v>465724</v>
      </c>
      <c r="G27" s="48">
        <f>+SUM(G6:G15)+SUM(G18:G25)</f>
        <v>479676</v>
      </c>
      <c r="H27" s="48">
        <f t="shared" si="0"/>
        <v>449437</v>
      </c>
    </row>
    <row r="29" spans="3:8" x14ac:dyDescent="0.25">
      <c r="C29" s="14" t="s">
        <v>117</v>
      </c>
      <c r="D29" s="16"/>
      <c r="E29" s="46"/>
      <c r="F29" s="46"/>
      <c r="G29" s="46"/>
      <c r="H29" s="46"/>
    </row>
    <row r="30" spans="3:8" x14ac:dyDescent="0.25">
      <c r="C30" s="61" t="s">
        <v>96</v>
      </c>
      <c r="D30" s="18"/>
      <c r="E30" s="42"/>
      <c r="F30" s="42"/>
      <c r="G30" s="42"/>
      <c r="H30" s="42"/>
    </row>
    <row r="31" spans="3:8" x14ac:dyDescent="0.25">
      <c r="C31" s="62" t="s">
        <v>97</v>
      </c>
      <c r="D31" s="18">
        <v>26381</v>
      </c>
      <c r="E31" s="42">
        <v>26949</v>
      </c>
      <c r="F31" s="42">
        <v>26949</v>
      </c>
      <c r="G31" s="42">
        <v>26949</v>
      </c>
      <c r="H31" s="42">
        <v>26949</v>
      </c>
    </row>
    <row r="32" spans="3:8" x14ac:dyDescent="0.25">
      <c r="C32" s="63" t="s">
        <v>98</v>
      </c>
      <c r="D32" s="32">
        <v>298602</v>
      </c>
      <c r="E32" s="49">
        <v>243439</v>
      </c>
      <c r="F32" s="49">
        <v>184146</v>
      </c>
      <c r="G32" s="49">
        <v>194556</v>
      </c>
      <c r="H32" s="49">
        <v>131821</v>
      </c>
    </row>
    <row r="33" spans="3:8" x14ac:dyDescent="0.25">
      <c r="C33" s="14" t="s">
        <v>99</v>
      </c>
      <c r="D33" s="16"/>
      <c r="E33" s="46"/>
      <c r="F33" s="46"/>
      <c r="G33" s="46"/>
      <c r="H33" s="46"/>
    </row>
    <row r="34" spans="3:8" x14ac:dyDescent="0.25">
      <c r="C34" s="61" t="s">
        <v>100</v>
      </c>
      <c r="D34" s="18"/>
      <c r="E34" s="42"/>
      <c r="F34" s="42"/>
      <c r="G34" s="42"/>
      <c r="H34" s="42"/>
    </row>
    <row r="35" spans="3:8" x14ac:dyDescent="0.25">
      <c r="C35" s="61" t="s">
        <v>107</v>
      </c>
      <c r="D35" s="18"/>
      <c r="E35" s="42"/>
      <c r="F35" s="42"/>
      <c r="G35" s="42"/>
      <c r="H35" s="42"/>
    </row>
    <row r="36" spans="3:8" x14ac:dyDescent="0.25">
      <c r="C36" s="19" t="s">
        <v>101</v>
      </c>
      <c r="D36" s="18">
        <v>1532</v>
      </c>
      <c r="E36" s="42">
        <v>15044</v>
      </c>
      <c r="F36" s="42">
        <v>24340</v>
      </c>
      <c r="G36" s="42">
        <v>23739</v>
      </c>
      <c r="H36" s="42">
        <v>15051</v>
      </c>
    </row>
    <row r="37" spans="3:8" x14ac:dyDescent="0.25">
      <c r="C37" s="19" t="s">
        <v>102</v>
      </c>
      <c r="D37" s="18">
        <v>163257</v>
      </c>
      <c r="E37" s="42">
        <v>138202</v>
      </c>
      <c r="F37" s="42">
        <v>124206</v>
      </c>
      <c r="G37" s="42">
        <v>120877</v>
      </c>
      <c r="H37" s="42">
        <v>112327</v>
      </c>
    </row>
    <row r="38" spans="3:8" x14ac:dyDescent="0.25">
      <c r="C38" s="19" t="s">
        <v>103</v>
      </c>
      <c r="D38" s="18">
        <v>3978</v>
      </c>
      <c r="E38" s="42">
        <v>3923</v>
      </c>
      <c r="F38" s="42">
        <v>3824</v>
      </c>
      <c r="G38" s="42">
        <v>5708</v>
      </c>
      <c r="H38" s="42">
        <v>5236</v>
      </c>
    </row>
    <row r="39" spans="3:8" x14ac:dyDescent="0.25">
      <c r="C39" s="19" t="s">
        <v>104</v>
      </c>
      <c r="D39" s="18">
        <v>24656</v>
      </c>
      <c r="E39" s="42">
        <v>21592</v>
      </c>
      <c r="F39" s="42">
        <v>18738</v>
      </c>
      <c r="G39" s="42">
        <v>17198</v>
      </c>
      <c r="H39" s="42">
        <v>15666</v>
      </c>
    </row>
    <row r="40" spans="3:8" x14ac:dyDescent="0.25">
      <c r="C40" s="19" t="s">
        <v>105</v>
      </c>
      <c r="D40" s="18">
        <v>4072</v>
      </c>
      <c r="E40" s="42">
        <v>0</v>
      </c>
      <c r="F40" s="42">
        <v>0</v>
      </c>
      <c r="G40" s="42">
        <v>918</v>
      </c>
      <c r="H40" s="42">
        <v>703</v>
      </c>
    </row>
    <row r="41" spans="3:8" x14ac:dyDescent="0.25">
      <c r="C41" s="19" t="s">
        <v>106</v>
      </c>
      <c r="D41" s="18">
        <v>11356</v>
      </c>
      <c r="E41" s="42">
        <v>7962</v>
      </c>
      <c r="F41" s="42">
        <v>1893</v>
      </c>
      <c r="G41" s="42">
        <v>1462</v>
      </c>
      <c r="H41" s="42">
        <v>2178</v>
      </c>
    </row>
    <row r="42" spans="3:8" x14ac:dyDescent="0.25">
      <c r="C42" s="19"/>
      <c r="D42" s="18"/>
      <c r="E42" s="42"/>
      <c r="F42" s="42"/>
      <c r="G42" s="42"/>
      <c r="H42" s="42"/>
    </row>
    <row r="43" spans="3:8" x14ac:dyDescent="0.25">
      <c r="C43" s="61" t="s">
        <v>108</v>
      </c>
      <c r="D43" s="18"/>
      <c r="E43" s="42"/>
      <c r="F43" s="42"/>
      <c r="G43" s="42"/>
      <c r="H43" s="42"/>
    </row>
    <row r="44" spans="3:8" x14ac:dyDescent="0.25">
      <c r="C44" s="61" t="s">
        <v>109</v>
      </c>
      <c r="D44" s="18"/>
      <c r="E44" s="42"/>
      <c r="F44" s="42"/>
      <c r="G44" s="42"/>
      <c r="H44" s="42"/>
    </row>
    <row r="45" spans="3:8" x14ac:dyDescent="0.25">
      <c r="C45" s="19" t="s">
        <v>110</v>
      </c>
      <c r="D45" s="18">
        <v>21092</v>
      </c>
      <c r="E45" s="42">
        <v>28074</v>
      </c>
      <c r="F45" s="42">
        <v>22786</v>
      </c>
      <c r="G45" s="42">
        <v>31129</v>
      </c>
      <c r="H45" s="42">
        <v>54652</v>
      </c>
    </row>
    <row r="46" spans="3:8" x14ac:dyDescent="0.25">
      <c r="C46" s="19" t="s">
        <v>111</v>
      </c>
      <c r="D46" s="18">
        <v>25677</v>
      </c>
      <c r="E46" s="42">
        <v>23990</v>
      </c>
      <c r="F46" s="42">
        <v>20517</v>
      </c>
      <c r="G46" s="42">
        <v>21515</v>
      </c>
      <c r="H46" s="42">
        <f>374+32214</f>
        <v>32588</v>
      </c>
    </row>
    <row r="47" spans="3:8" x14ac:dyDescent="0.25">
      <c r="C47" s="19" t="s">
        <v>112</v>
      </c>
      <c r="D47" s="18">
        <f>453+23997</f>
        <v>24450</v>
      </c>
      <c r="E47" s="42">
        <f>702+22095</f>
        <v>22797</v>
      </c>
      <c r="F47" s="42">
        <f>494+20725</f>
        <v>21219</v>
      </c>
      <c r="G47" s="42">
        <f>522+20771</f>
        <v>21293</v>
      </c>
      <c r="H47" s="42">
        <v>21792</v>
      </c>
    </row>
    <row r="48" spans="3:8" x14ac:dyDescent="0.25">
      <c r="C48" s="19" t="s">
        <v>103</v>
      </c>
      <c r="D48" s="18">
        <v>18607</v>
      </c>
      <c r="E48" s="42">
        <v>17697</v>
      </c>
      <c r="F48" s="42">
        <v>11592</v>
      </c>
      <c r="G48" s="42">
        <v>6510</v>
      </c>
      <c r="H48" s="42">
        <v>23234</v>
      </c>
    </row>
    <row r="49" spans="3:8" x14ac:dyDescent="0.25">
      <c r="C49" s="19" t="s">
        <v>113</v>
      </c>
      <c r="D49" s="18">
        <v>5876</v>
      </c>
      <c r="E49" s="42">
        <v>6449</v>
      </c>
      <c r="F49" s="42">
        <v>4172</v>
      </c>
      <c r="G49" s="42">
        <v>5163</v>
      </c>
      <c r="H49" s="42">
        <v>5441</v>
      </c>
    </row>
    <row r="50" spans="3:8" x14ac:dyDescent="0.25">
      <c r="C50" s="19" t="s">
        <v>104</v>
      </c>
      <c r="D50" s="18">
        <v>843</v>
      </c>
      <c r="E50" s="42">
        <v>740</v>
      </c>
      <c r="F50" s="42">
        <v>676</v>
      </c>
      <c r="G50" s="42">
        <v>535</v>
      </c>
      <c r="H50" s="42">
        <v>481</v>
      </c>
    </row>
    <row r="51" spans="3:8" x14ac:dyDescent="0.25">
      <c r="C51" s="30" t="s">
        <v>114</v>
      </c>
      <c r="D51" s="32">
        <v>1323</v>
      </c>
      <c r="E51" s="49">
        <v>1818</v>
      </c>
      <c r="F51" s="49">
        <v>666</v>
      </c>
      <c r="G51" s="49">
        <v>2124</v>
      </c>
      <c r="H51" s="49">
        <v>1318</v>
      </c>
    </row>
    <row r="52" spans="3:8" x14ac:dyDescent="0.25">
      <c r="C52" s="11" t="s">
        <v>115</v>
      </c>
      <c r="D52" s="29">
        <f>+SUM(D31:D32)+SUM(D36:D41)+SUM(D45:D51)</f>
        <v>631702</v>
      </c>
      <c r="E52" s="29">
        <f>+SUM(E31:E32)+SUM(E36:E41)+SUM(E45:E51)</f>
        <v>558676</v>
      </c>
      <c r="F52" s="29">
        <f>+SUM(F31:F32)+SUM(F36:F41)+SUM(F45:F51)</f>
        <v>465724</v>
      </c>
      <c r="G52" s="29">
        <f>+SUM(G31:G32)+SUM(G36:G41)+SUM(G45:G51)</f>
        <v>479676</v>
      </c>
      <c r="H52" s="29">
        <f>+SUM(H31:H32)+SUM(H36:H41)+SUM(H45:H51)</f>
        <v>449437</v>
      </c>
    </row>
    <row r="54" spans="3:8" x14ac:dyDescent="0.25">
      <c r="D54" s="2">
        <f>+D52-D27</f>
        <v>0</v>
      </c>
      <c r="E54" s="2">
        <f t="shared" ref="E54:H54" si="1">+E52-E27</f>
        <v>0</v>
      </c>
      <c r="F54" s="2">
        <f t="shared" si="1"/>
        <v>0</v>
      </c>
      <c r="G54" s="2">
        <f t="shared" si="1"/>
        <v>0</v>
      </c>
      <c r="H54" s="2">
        <f t="shared" si="1"/>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A43E1-C60E-4521-846C-14C954FD2BB6}">
  <dimension ref="B2:G43"/>
  <sheetViews>
    <sheetView workbookViewId="0">
      <selection activeCell="E16" sqref="E16"/>
    </sheetView>
  </sheetViews>
  <sheetFormatPr defaultRowHeight="13.8" x14ac:dyDescent="0.25"/>
  <cols>
    <col min="1" max="1" width="8.88671875" style="2"/>
    <col min="2" max="2" width="42.5546875" style="2" bestFit="1" customWidth="1"/>
    <col min="3" max="3" width="12.109375" style="2" bestFit="1" customWidth="1"/>
    <col min="4" max="7" width="11.77734375" style="2" customWidth="1"/>
    <col min="8" max="16384" width="8.88671875" style="2"/>
  </cols>
  <sheetData>
    <row r="2" spans="2:7" x14ac:dyDescent="0.25">
      <c r="B2" s="48" t="s">
        <v>120</v>
      </c>
    </row>
    <row r="4" spans="2:7" x14ac:dyDescent="0.25">
      <c r="B4" s="48" t="s">
        <v>23</v>
      </c>
      <c r="C4" s="48" t="s">
        <v>90</v>
      </c>
      <c r="D4" s="48" t="s">
        <v>91</v>
      </c>
      <c r="E4" s="48" t="s">
        <v>92</v>
      </c>
      <c r="F4" s="48" t="s">
        <v>93</v>
      </c>
      <c r="G4" s="48" t="s">
        <v>118</v>
      </c>
    </row>
    <row r="5" spans="2:7" x14ac:dyDescent="0.25">
      <c r="B5" s="52" t="s">
        <v>121</v>
      </c>
      <c r="C5" s="42"/>
      <c r="D5" s="42"/>
      <c r="E5" s="42"/>
      <c r="F5" s="42"/>
      <c r="G5" s="42"/>
    </row>
    <row r="6" spans="2:7" x14ac:dyDescent="0.25">
      <c r="B6" s="42" t="s">
        <v>122</v>
      </c>
      <c r="C6" s="42">
        <v>131537</v>
      </c>
      <c r="D6" s="42">
        <v>81224</v>
      </c>
      <c r="E6" s="42">
        <v>27593</v>
      </c>
      <c r="F6" s="42">
        <v>84307</v>
      </c>
      <c r="G6" s="42">
        <v>47569</v>
      </c>
    </row>
    <row r="7" spans="2:7" x14ac:dyDescent="0.25">
      <c r="B7" s="42"/>
      <c r="C7" s="42"/>
      <c r="D7" s="42"/>
      <c r="E7" s="42"/>
      <c r="F7" s="42"/>
      <c r="G7" s="42"/>
    </row>
    <row r="8" spans="2:7" x14ac:dyDescent="0.25">
      <c r="B8" s="42" t="s">
        <v>123</v>
      </c>
      <c r="C8" s="42">
        <f>64021-4179+18579-2687-50771-5330-371</f>
        <v>19262</v>
      </c>
      <c r="D8" s="42">
        <f>60599-6479+18638-2793-809-4907-507</f>
        <v>63742</v>
      </c>
      <c r="E8" s="42">
        <f>53239-830+16704-2614+53077+4928-6165-644</f>
        <v>117695</v>
      </c>
      <c r="F8" s="42">
        <f>53252-1060+16033-2551-1170-3436-1138</f>
        <v>59930</v>
      </c>
      <c r="G8" s="42">
        <f>28484-1992+8364-8663-823-461-2074-1237</f>
        <v>21598</v>
      </c>
    </row>
    <row r="9" spans="2:7" ht="27.6" x14ac:dyDescent="0.25">
      <c r="B9" s="66" t="s">
        <v>124</v>
      </c>
      <c r="C9" s="52">
        <f>+C6+C8</f>
        <v>150799</v>
      </c>
      <c r="D9" s="52">
        <f t="shared" ref="D9:G9" si="0">+D6+D8</f>
        <v>144966</v>
      </c>
      <c r="E9" s="52">
        <f t="shared" si="0"/>
        <v>145288</v>
      </c>
      <c r="F9" s="52">
        <f t="shared" si="0"/>
        <v>144237</v>
      </c>
      <c r="G9" s="52">
        <f t="shared" si="0"/>
        <v>69167</v>
      </c>
    </row>
    <row r="10" spans="2:7" x14ac:dyDescent="0.25">
      <c r="B10" s="42"/>
      <c r="C10" s="42"/>
      <c r="D10" s="42"/>
      <c r="E10" s="42"/>
      <c r="F10" s="42"/>
      <c r="G10" s="42"/>
    </row>
    <row r="11" spans="2:7" x14ac:dyDescent="0.25">
      <c r="B11" s="42" t="s">
        <v>125</v>
      </c>
      <c r="C11" s="42">
        <f>-3852-4817-76+67700-18+182+3030+2248</f>
        <v>64397</v>
      </c>
      <c r="D11" s="42">
        <f>-4500-911-15052-148+156+8148+1862</f>
        <v>-10445</v>
      </c>
      <c r="E11" s="42">
        <f>-9500-494-31184-2208+51-287-426</f>
        <v>-44048</v>
      </c>
      <c r="F11" s="42">
        <f>5380+2531-30992-110+362-557-10510</f>
        <v>-33896</v>
      </c>
      <c r="G11" s="42">
        <f>-3129-1069+24251-111-193-3396+79</f>
        <v>16432</v>
      </c>
    </row>
    <row r="12" spans="2:7" x14ac:dyDescent="0.25">
      <c r="B12" s="52" t="s">
        <v>126</v>
      </c>
      <c r="C12" s="52">
        <f>+C9+C11</f>
        <v>215196</v>
      </c>
      <c r="D12" s="52">
        <f t="shared" ref="D12:G12" si="1">+D9+D11</f>
        <v>134521</v>
      </c>
      <c r="E12" s="52">
        <f t="shared" si="1"/>
        <v>101240</v>
      </c>
      <c r="F12" s="52">
        <f t="shared" si="1"/>
        <v>110341</v>
      </c>
      <c r="G12" s="52">
        <f t="shared" si="1"/>
        <v>85599</v>
      </c>
    </row>
    <row r="13" spans="2:7" x14ac:dyDescent="0.25">
      <c r="B13" s="42" t="s">
        <v>127</v>
      </c>
      <c r="C13" s="42">
        <v>-18746</v>
      </c>
      <c r="D13" s="42">
        <v>-18700</v>
      </c>
      <c r="E13" s="42">
        <v>-22192</v>
      </c>
      <c r="F13" s="42">
        <v>-19129</v>
      </c>
      <c r="G13" s="42">
        <v>-10788</v>
      </c>
    </row>
    <row r="14" spans="2:7" x14ac:dyDescent="0.25">
      <c r="B14" s="43" t="s">
        <v>128</v>
      </c>
      <c r="C14" s="43">
        <f>+C12+C13</f>
        <v>196450</v>
      </c>
      <c r="D14" s="43">
        <f t="shared" ref="D14:G14" si="2">+D12+D13</f>
        <v>115821</v>
      </c>
      <c r="E14" s="43">
        <f t="shared" si="2"/>
        <v>79048</v>
      </c>
      <c r="F14" s="43">
        <f t="shared" si="2"/>
        <v>91212</v>
      </c>
      <c r="G14" s="43">
        <f t="shared" si="2"/>
        <v>74811</v>
      </c>
    </row>
    <row r="16" spans="2:7" x14ac:dyDescent="0.25">
      <c r="B16" s="40" t="s">
        <v>129</v>
      </c>
    </row>
    <row r="17" spans="2:7" x14ac:dyDescent="0.25">
      <c r="B17" s="46" t="s">
        <v>130</v>
      </c>
      <c r="C17" s="46">
        <f>-67840+5269</f>
        <v>-62571</v>
      </c>
      <c r="D17" s="46">
        <f>-89529+5064</f>
        <v>-84465</v>
      </c>
      <c r="E17" s="46">
        <f>-36226+4545</f>
        <v>-31681</v>
      </c>
      <c r="F17" s="46">
        <f>-32851+4154</f>
        <v>-28697</v>
      </c>
      <c r="G17" s="16">
        <f>-21184+1666</f>
        <v>-19518</v>
      </c>
    </row>
    <row r="18" spans="2:7" x14ac:dyDescent="0.25">
      <c r="B18" s="42" t="s">
        <v>131</v>
      </c>
      <c r="C18" s="42">
        <f>-319114+304967</f>
        <v>-14147</v>
      </c>
      <c r="D18" s="42">
        <f>-157572+157639+2750</f>
        <v>2817</v>
      </c>
      <c r="E18" s="42">
        <f>-195040+208864</f>
        <v>13824</v>
      </c>
      <c r="F18" s="42">
        <f>-105535+111926</f>
        <v>6391</v>
      </c>
      <c r="G18" s="18">
        <f>-98329+131268</f>
        <v>32939</v>
      </c>
    </row>
    <row r="19" spans="2:7" x14ac:dyDescent="0.25">
      <c r="B19" s="42" t="s">
        <v>132</v>
      </c>
      <c r="C19" s="42">
        <f>-18288+28+2841</f>
        <v>-15419</v>
      </c>
      <c r="D19" s="42">
        <f>-28+6261</f>
        <v>6233</v>
      </c>
      <c r="E19" s="42">
        <v>0</v>
      </c>
      <c r="F19" s="42">
        <v>0</v>
      </c>
      <c r="G19" s="18">
        <v>0</v>
      </c>
    </row>
    <row r="20" spans="2:7" ht="27.6" x14ac:dyDescent="0.25">
      <c r="B20" s="47" t="s">
        <v>145</v>
      </c>
      <c r="C20" s="42">
        <v>-16968</v>
      </c>
      <c r="D20" s="42">
        <v>-47</v>
      </c>
      <c r="E20" s="42">
        <f>578-21</f>
        <v>557</v>
      </c>
      <c r="F20" s="42">
        <f>585-16</f>
        <v>569</v>
      </c>
      <c r="G20" s="18">
        <f>392-36</f>
        <v>356</v>
      </c>
    </row>
    <row r="21" spans="2:7" x14ac:dyDescent="0.25">
      <c r="B21" s="42" t="s">
        <v>146</v>
      </c>
      <c r="C21" s="42">
        <v>0</v>
      </c>
      <c r="D21" s="42">
        <v>0</v>
      </c>
      <c r="E21" s="42">
        <v>0</v>
      </c>
      <c r="F21" s="42">
        <v>0</v>
      </c>
      <c r="G21" s="18">
        <v>4200</v>
      </c>
    </row>
    <row r="22" spans="2:7" x14ac:dyDescent="0.25">
      <c r="B22" s="43" t="s">
        <v>133</v>
      </c>
      <c r="C22" s="43">
        <f t="shared" ref="C22:F22" si="3">+SUM(C17:C21)</f>
        <v>-109105</v>
      </c>
      <c r="D22" s="43">
        <f t="shared" si="3"/>
        <v>-75462</v>
      </c>
      <c r="E22" s="43">
        <f t="shared" si="3"/>
        <v>-17300</v>
      </c>
      <c r="F22" s="43">
        <f t="shared" si="3"/>
        <v>-21737</v>
      </c>
      <c r="G22" s="22">
        <f>+SUM(G17:G21)</f>
        <v>17977</v>
      </c>
    </row>
    <row r="24" spans="2:7" x14ac:dyDescent="0.25">
      <c r="B24" s="40" t="s">
        <v>134</v>
      </c>
    </row>
    <row r="25" spans="2:7" x14ac:dyDescent="0.25">
      <c r="B25" s="46" t="s">
        <v>135</v>
      </c>
      <c r="C25" s="46">
        <f>62584-83091</f>
        <v>-20507</v>
      </c>
      <c r="D25" s="46">
        <f>85558-89584</f>
        <v>-4026</v>
      </c>
      <c r="E25" s="46">
        <f>129315-136984</f>
        <v>-7669</v>
      </c>
      <c r="F25" s="46">
        <f>162422-189144</f>
        <v>-26722</v>
      </c>
      <c r="G25" s="16">
        <f>149640-133325</f>
        <v>16315</v>
      </c>
    </row>
    <row r="26" spans="2:7" x14ac:dyDescent="0.25">
      <c r="B26" s="42" t="s">
        <v>136</v>
      </c>
      <c r="C26" s="42">
        <v>-258</v>
      </c>
      <c r="D26" s="42">
        <v>-130</v>
      </c>
      <c r="E26" s="42">
        <v>-75</v>
      </c>
      <c r="F26" s="42">
        <v>-154</v>
      </c>
      <c r="G26" s="18">
        <v>78</v>
      </c>
    </row>
    <row r="27" spans="2:7" x14ac:dyDescent="0.25">
      <c r="B27" s="42" t="s">
        <v>147</v>
      </c>
      <c r="C27" s="42"/>
      <c r="D27" s="42"/>
      <c r="E27" s="42"/>
      <c r="F27" s="42"/>
      <c r="G27" s="18">
        <f>-37642-8</f>
        <v>-37650</v>
      </c>
    </row>
    <row r="28" spans="2:7" x14ac:dyDescent="0.25">
      <c r="B28" s="42" t="s">
        <v>144</v>
      </c>
      <c r="C28" s="42">
        <v>0</v>
      </c>
      <c r="D28" s="42">
        <v>0</v>
      </c>
      <c r="E28" s="42">
        <v>-29638</v>
      </c>
      <c r="F28" s="42">
        <v>0</v>
      </c>
      <c r="G28" s="18">
        <v>-59854</v>
      </c>
    </row>
    <row r="29" spans="2:7" x14ac:dyDescent="0.25">
      <c r="B29" s="42" t="s">
        <v>137</v>
      </c>
      <c r="C29" s="42">
        <f>-26400-1087</f>
        <v>-27487</v>
      </c>
      <c r="D29" s="42"/>
      <c r="E29" s="42">
        <v>0</v>
      </c>
      <c r="F29" s="42">
        <v>0</v>
      </c>
      <c r="G29" s="18">
        <v>0</v>
      </c>
    </row>
    <row r="30" spans="2:7" x14ac:dyDescent="0.25">
      <c r="B30" s="42" t="s">
        <v>138</v>
      </c>
      <c r="C30" s="42">
        <f>-2762+8</f>
        <v>-2754</v>
      </c>
      <c r="D30" s="42">
        <v>-4066</v>
      </c>
      <c r="E30" s="42">
        <v>-3666</v>
      </c>
      <c r="F30" s="42">
        <v>-4418</v>
      </c>
      <c r="G30" s="18">
        <v>-1450</v>
      </c>
    </row>
    <row r="31" spans="2:7" x14ac:dyDescent="0.25">
      <c r="B31" s="49" t="s">
        <v>139</v>
      </c>
      <c r="C31" s="49">
        <v>-35473</v>
      </c>
      <c r="D31" s="49">
        <f>4-31734</f>
        <v>-31730</v>
      </c>
      <c r="E31" s="49">
        <v>-30278</v>
      </c>
      <c r="F31" s="49">
        <v>-28522</v>
      </c>
      <c r="G31" s="32">
        <v>-11207</v>
      </c>
    </row>
    <row r="33" spans="2:7" x14ac:dyDescent="0.25">
      <c r="B33" s="48" t="s">
        <v>140</v>
      </c>
      <c r="C33" s="48">
        <f>+SUM(C25:C31)</f>
        <v>-86479</v>
      </c>
      <c r="D33" s="48">
        <f>+SUM(D25:D31)</f>
        <v>-39952</v>
      </c>
      <c r="E33" s="48">
        <f>+SUM(E25:E31)</f>
        <v>-71326</v>
      </c>
      <c r="F33" s="48">
        <f>+SUM(F25:F31)</f>
        <v>-59816</v>
      </c>
      <c r="G33" s="48">
        <f>+SUM(G25:G31)</f>
        <v>-93768</v>
      </c>
    </row>
    <row r="35" spans="2:7" x14ac:dyDescent="0.25">
      <c r="B35" s="48" t="s">
        <v>149</v>
      </c>
      <c r="C35" s="48">
        <f>+C14+C22+C33</f>
        <v>866</v>
      </c>
      <c r="D35" s="48">
        <f>+D14+D22+D33</f>
        <v>407</v>
      </c>
      <c r="E35" s="48">
        <f>+E14+E22+E33</f>
        <v>-9578</v>
      </c>
      <c r="F35" s="48">
        <f>+F14+F22+F33</f>
        <v>9659</v>
      </c>
      <c r="G35" s="48">
        <f>+G14+G22+G33</f>
        <v>-980</v>
      </c>
    </row>
    <row r="36" spans="2:7" ht="27.6" x14ac:dyDescent="0.25">
      <c r="B36" s="67" t="s">
        <v>148</v>
      </c>
      <c r="C36" s="60">
        <f>+D37</f>
        <v>631</v>
      </c>
      <c r="D36" s="60">
        <f>+E37</f>
        <v>224</v>
      </c>
      <c r="E36" s="60">
        <f>+F37</f>
        <v>9802</v>
      </c>
      <c r="F36" s="60">
        <f>+G37</f>
        <v>143</v>
      </c>
      <c r="G36" s="60">
        <f>1121+2</f>
        <v>1123</v>
      </c>
    </row>
    <row r="37" spans="2:7" x14ac:dyDescent="0.25">
      <c r="B37" s="48" t="s">
        <v>141</v>
      </c>
      <c r="C37" s="48">
        <f>+C35+C36</f>
        <v>1497</v>
      </c>
      <c r="D37" s="48">
        <f t="shared" ref="D37:G37" si="4">+D35+D36</f>
        <v>631</v>
      </c>
      <c r="E37" s="48">
        <f t="shared" si="4"/>
        <v>224</v>
      </c>
      <c r="F37" s="48">
        <f t="shared" si="4"/>
        <v>9802</v>
      </c>
      <c r="G37" s="48">
        <f t="shared" si="4"/>
        <v>143</v>
      </c>
    </row>
    <row r="39" spans="2:7" x14ac:dyDescent="0.25">
      <c r="B39" s="48" t="s">
        <v>142</v>
      </c>
      <c r="C39" s="48">
        <f>+C14+C17</f>
        <v>133879</v>
      </c>
      <c r="D39" s="48">
        <f>+D14-D17-D18</f>
        <v>197469</v>
      </c>
      <c r="E39" s="48">
        <f>+E14-E17-E18</f>
        <v>96905</v>
      </c>
      <c r="F39" s="48">
        <f>+F14-F17-F18</f>
        <v>113518</v>
      </c>
      <c r="G39" s="48">
        <f>+G14-G17-G18</f>
        <v>61390</v>
      </c>
    </row>
    <row r="40" spans="2:7" ht="28.2" x14ac:dyDescent="0.3">
      <c r="B40" s="67" t="s">
        <v>143</v>
      </c>
      <c r="C40" s="86"/>
      <c r="D40" s="87"/>
      <c r="E40" s="87"/>
      <c r="F40" s="87"/>
      <c r="G40" s="88"/>
    </row>
    <row r="42" spans="2:7" x14ac:dyDescent="0.25">
      <c r="B42" s="48" t="s">
        <v>169</v>
      </c>
      <c r="C42" s="150">
        <f>+(C39-D39)/D39</f>
        <v>-0.32202522927649402</v>
      </c>
      <c r="D42" s="150">
        <f>+(D39-E39)/E39</f>
        <v>1.0377586295856767</v>
      </c>
      <c r="E42" s="150">
        <f>+(E39-F39)/F39</f>
        <v>-0.1463468348631935</v>
      </c>
      <c r="F42" s="150">
        <f>+(F39-G39)/G39</f>
        <v>0.84912852256067761</v>
      </c>
    </row>
    <row r="43" spans="2:7" x14ac:dyDescent="0.25">
      <c r="B43" s="20" t="s">
        <v>57</v>
      </c>
      <c r="C43" s="150">
        <f>AVERAGE(C42:F42)</f>
        <v>0.35462877200166665</v>
      </c>
      <c r="D43" s="4"/>
      <c r="E43" s="4"/>
      <c r="F43" s="4"/>
    </row>
  </sheetData>
  <mergeCells count="1">
    <mergeCell ref="C40:G4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31D1E-4833-4874-9738-ADA3692F0E97}">
  <dimension ref="B2:Q58"/>
  <sheetViews>
    <sheetView tabSelected="1" topLeftCell="A37" workbookViewId="0">
      <selection activeCell="D57" sqref="D57:E57"/>
    </sheetView>
  </sheetViews>
  <sheetFormatPr defaultRowHeight="13.8" x14ac:dyDescent="0.25"/>
  <cols>
    <col min="1" max="1" width="8.88671875" style="2"/>
    <col min="2" max="2" width="18.44140625" style="2" bestFit="1" customWidth="1"/>
    <col min="3" max="3" width="14.109375" style="2" bestFit="1" customWidth="1"/>
    <col min="4" max="5" width="8.88671875" style="2"/>
    <col min="6" max="6" width="9.44140625" style="2" bestFit="1" customWidth="1"/>
    <col min="7" max="16" width="8.88671875" style="2"/>
    <col min="17" max="17" width="12.88671875" style="2" customWidth="1"/>
    <col min="18" max="16384" width="8.88671875" style="2"/>
  </cols>
  <sheetData>
    <row r="2" spans="2:17" x14ac:dyDescent="0.25">
      <c r="B2" s="89" t="s">
        <v>151</v>
      </c>
      <c r="C2" s="90"/>
      <c r="D2" s="90"/>
      <c r="E2" s="90"/>
      <c r="F2" s="91"/>
    </row>
    <row r="3" spans="2:17" x14ac:dyDescent="0.25">
      <c r="B3" s="92"/>
      <c r="C3" s="93"/>
      <c r="D3" s="93"/>
      <c r="E3" s="93"/>
      <c r="F3" s="94"/>
    </row>
    <row r="5" spans="2:17" x14ac:dyDescent="0.25">
      <c r="B5" s="95" t="s">
        <v>152</v>
      </c>
      <c r="C5" s="96"/>
      <c r="D5" s="96"/>
      <c r="E5" s="96"/>
      <c r="F5" s="96"/>
      <c r="G5" s="96"/>
      <c r="H5" s="96"/>
      <c r="I5" s="96"/>
      <c r="J5" s="97"/>
      <c r="K5" s="4"/>
      <c r="L5" s="4"/>
      <c r="M5" s="4"/>
      <c r="N5" s="4"/>
      <c r="O5" s="4"/>
      <c r="P5" s="4"/>
      <c r="Q5" s="4"/>
    </row>
    <row r="6" spans="2:17" x14ac:dyDescent="0.25">
      <c r="B6" s="98"/>
      <c r="C6" s="99"/>
      <c r="D6" s="99"/>
      <c r="E6" s="99"/>
      <c r="F6" s="99"/>
      <c r="G6" s="99"/>
      <c r="H6" s="99"/>
      <c r="I6" s="99"/>
      <c r="J6" s="100"/>
      <c r="K6" s="4"/>
      <c r="L6" s="4"/>
      <c r="M6" s="4"/>
      <c r="N6" s="4"/>
      <c r="O6" s="4"/>
      <c r="P6" s="4"/>
      <c r="Q6" s="4"/>
    </row>
    <row r="7" spans="2:17" x14ac:dyDescent="0.25">
      <c r="B7" s="4"/>
    </row>
    <row r="8" spans="2:17" x14ac:dyDescent="0.25">
      <c r="B8" s="4" t="s">
        <v>153</v>
      </c>
      <c r="C8" s="101" t="s">
        <v>154</v>
      </c>
      <c r="D8" s="102" t="s">
        <v>155</v>
      </c>
      <c r="E8" s="102"/>
      <c r="F8" s="102"/>
      <c r="G8" s="102"/>
    </row>
    <row r="9" spans="2:17" x14ac:dyDescent="0.25">
      <c r="B9" s="103" t="s">
        <v>156</v>
      </c>
      <c r="C9" s="104" t="s">
        <v>154</v>
      </c>
      <c r="D9" s="105" t="s">
        <v>157</v>
      </c>
      <c r="E9" s="105"/>
      <c r="F9" s="105"/>
      <c r="G9" s="105"/>
      <c r="H9" s="105"/>
      <c r="I9" s="105"/>
      <c r="J9" s="105"/>
    </row>
    <row r="10" spans="2:17" x14ac:dyDescent="0.25">
      <c r="B10" s="103"/>
      <c r="C10" s="104"/>
      <c r="D10" s="105"/>
      <c r="E10" s="105"/>
      <c r="F10" s="105"/>
      <c r="G10" s="105"/>
      <c r="H10" s="105"/>
      <c r="I10" s="105"/>
      <c r="J10" s="105"/>
    </row>
    <row r="11" spans="2:17" x14ac:dyDescent="0.25">
      <c r="B11" s="4" t="s">
        <v>158</v>
      </c>
      <c r="C11" s="106" t="s">
        <v>154</v>
      </c>
      <c r="D11" s="107" t="s">
        <v>159</v>
      </c>
      <c r="E11" s="107"/>
      <c r="F11" s="107"/>
      <c r="G11" s="107"/>
      <c r="H11" s="107"/>
      <c r="I11" s="107"/>
      <c r="J11" s="107"/>
      <c r="K11" s="107"/>
    </row>
    <row r="14" spans="2:17" ht="13.8" customHeight="1" x14ac:dyDescent="0.25">
      <c r="B14" s="109" t="s">
        <v>160</v>
      </c>
      <c r="C14" s="110"/>
      <c r="D14" s="110"/>
      <c r="E14" s="110"/>
      <c r="F14" s="110"/>
      <c r="G14" s="110"/>
      <c r="H14" s="110"/>
      <c r="I14" s="110"/>
      <c r="J14" s="115"/>
    </row>
    <row r="15" spans="2:17" x14ac:dyDescent="0.25">
      <c r="B15" s="111"/>
      <c r="C15" s="112"/>
      <c r="D15" s="112"/>
      <c r="E15" s="112"/>
      <c r="F15" s="112"/>
      <c r="G15" s="112"/>
      <c r="H15" s="112"/>
      <c r="I15" s="112"/>
      <c r="J15" s="116"/>
    </row>
    <row r="16" spans="2:17" x14ac:dyDescent="0.25">
      <c r="B16" s="113"/>
      <c r="C16" s="114"/>
      <c r="D16" s="114"/>
      <c r="E16" s="114"/>
      <c r="F16" s="114"/>
      <c r="G16" s="114"/>
      <c r="H16" s="114"/>
      <c r="I16" s="114"/>
      <c r="J16" s="117"/>
    </row>
    <row r="17" spans="2:10" x14ac:dyDescent="0.25">
      <c r="B17" s="108"/>
      <c r="C17" s="108"/>
      <c r="D17" s="108"/>
      <c r="E17" s="108"/>
      <c r="F17" s="108"/>
      <c r="G17" s="108"/>
      <c r="H17" s="108"/>
      <c r="I17" s="108"/>
      <c r="J17" s="108"/>
    </row>
    <row r="18" spans="2:10" x14ac:dyDescent="0.25">
      <c r="B18" s="119" t="s">
        <v>161</v>
      </c>
      <c r="C18" s="119" t="s">
        <v>164</v>
      </c>
      <c r="D18" s="122" t="s">
        <v>162</v>
      </c>
      <c r="E18" s="123"/>
      <c r="F18" s="122" t="s">
        <v>163</v>
      </c>
      <c r="G18" s="123"/>
      <c r="H18" s="122" t="s">
        <v>165</v>
      </c>
      <c r="I18" s="123"/>
    </row>
    <row r="19" spans="2:10" x14ac:dyDescent="0.25">
      <c r="B19" s="120">
        <v>1</v>
      </c>
      <c r="C19" s="125">
        <v>103526</v>
      </c>
      <c r="D19" s="126">
        <f>+C19*0.065</f>
        <v>6729.1900000000005</v>
      </c>
      <c r="E19" s="127"/>
      <c r="F19" s="126">
        <f>(+C19/1.05)-C19</f>
        <v>-4929.8095238095266</v>
      </c>
      <c r="G19" s="127"/>
      <c r="H19" s="126">
        <f>+C19+D19+F19</f>
        <v>105325.38047619048</v>
      </c>
      <c r="I19" s="127"/>
    </row>
    <row r="20" spans="2:10" x14ac:dyDescent="0.25">
      <c r="B20" s="120">
        <v>2</v>
      </c>
      <c r="C20" s="125">
        <f>+H19</f>
        <v>105325.38047619048</v>
      </c>
      <c r="D20" s="126">
        <f t="shared" ref="D20:D27" si="0">+C20*0.065</f>
        <v>6846.1497309523811</v>
      </c>
      <c r="E20" s="127"/>
      <c r="F20" s="126">
        <f t="shared" ref="F20:F28" si="1">(+C20/1.05)-C20</f>
        <v>-5015.4943083900289</v>
      </c>
      <c r="G20" s="127"/>
      <c r="H20" s="126">
        <f t="shared" ref="H20:H28" si="2">+C20+D20+F20</f>
        <v>107156.03589875283</v>
      </c>
      <c r="I20" s="127"/>
    </row>
    <row r="21" spans="2:10" x14ac:dyDescent="0.25">
      <c r="B21" s="120">
        <v>3</v>
      </c>
      <c r="C21" s="125">
        <f t="shared" ref="C21:C28" si="3">+H20</f>
        <v>107156.03589875283</v>
      </c>
      <c r="D21" s="126">
        <f t="shared" si="0"/>
        <v>6965.142333418934</v>
      </c>
      <c r="E21" s="127"/>
      <c r="F21" s="126">
        <f t="shared" si="1"/>
        <v>-5102.6683761310851</v>
      </c>
      <c r="G21" s="127"/>
      <c r="H21" s="126">
        <f t="shared" si="2"/>
        <v>109018.50985604068</v>
      </c>
      <c r="I21" s="127"/>
    </row>
    <row r="22" spans="2:10" x14ac:dyDescent="0.25">
      <c r="B22" s="120">
        <v>4</v>
      </c>
      <c r="C22" s="125">
        <f t="shared" si="3"/>
        <v>109018.50985604068</v>
      </c>
      <c r="D22" s="126">
        <f t="shared" si="0"/>
        <v>7086.203140642644</v>
      </c>
      <c r="E22" s="127"/>
      <c r="F22" s="126">
        <f t="shared" si="1"/>
        <v>-5191.3576121924125</v>
      </c>
      <c r="G22" s="127"/>
      <c r="H22" s="126">
        <f t="shared" si="2"/>
        <v>110913.3553844909</v>
      </c>
      <c r="I22" s="127"/>
    </row>
    <row r="23" spans="2:10" x14ac:dyDescent="0.25">
      <c r="B23" s="120">
        <v>5</v>
      </c>
      <c r="C23" s="125">
        <f t="shared" si="3"/>
        <v>110913.3553844909</v>
      </c>
      <c r="D23" s="126">
        <f t="shared" si="0"/>
        <v>7209.3680999919088</v>
      </c>
      <c r="E23" s="127"/>
      <c r="F23" s="126">
        <f t="shared" si="1"/>
        <v>-5281.5883516424219</v>
      </c>
      <c r="G23" s="127"/>
      <c r="H23" s="126">
        <f t="shared" si="2"/>
        <v>112841.1351328404</v>
      </c>
      <c r="I23" s="127"/>
    </row>
    <row r="24" spans="2:10" x14ac:dyDescent="0.25">
      <c r="B24" s="120">
        <v>6</v>
      </c>
      <c r="C24" s="125">
        <f t="shared" si="3"/>
        <v>112841.1351328404</v>
      </c>
      <c r="D24" s="126">
        <f t="shared" si="0"/>
        <v>7334.6737836346265</v>
      </c>
      <c r="E24" s="127"/>
      <c r="F24" s="126">
        <f t="shared" si="1"/>
        <v>-5373.387387278126</v>
      </c>
      <c r="G24" s="127"/>
      <c r="H24" s="126">
        <f t="shared" si="2"/>
        <v>114802.4215291969</v>
      </c>
      <c r="I24" s="127"/>
    </row>
    <row r="25" spans="2:10" x14ac:dyDescent="0.25">
      <c r="B25" s="120">
        <v>7</v>
      </c>
      <c r="C25" s="125">
        <f t="shared" si="3"/>
        <v>114802.4215291969</v>
      </c>
      <c r="D25" s="126">
        <f t="shared" si="0"/>
        <v>7462.1573993977991</v>
      </c>
      <c r="E25" s="127"/>
      <c r="F25" s="126">
        <f t="shared" si="1"/>
        <v>-5466.7819775808166</v>
      </c>
      <c r="G25" s="127"/>
      <c r="H25" s="126">
        <f t="shared" si="2"/>
        <v>116797.79695101388</v>
      </c>
      <c r="I25" s="127"/>
    </row>
    <row r="26" spans="2:10" x14ac:dyDescent="0.25">
      <c r="B26" s="120">
        <v>8</v>
      </c>
      <c r="C26" s="125">
        <f t="shared" si="3"/>
        <v>116797.79695101388</v>
      </c>
      <c r="D26" s="126">
        <f t="shared" si="0"/>
        <v>7591.8568018159021</v>
      </c>
      <c r="E26" s="127"/>
      <c r="F26" s="126">
        <f t="shared" si="1"/>
        <v>-5561.7998548101896</v>
      </c>
      <c r="G26" s="127"/>
      <c r="H26" s="126">
        <f t="shared" si="2"/>
        <v>118827.85389801959</v>
      </c>
      <c r="I26" s="127"/>
    </row>
    <row r="27" spans="2:10" x14ac:dyDescent="0.25">
      <c r="B27" s="120">
        <v>9</v>
      </c>
      <c r="C27" s="125">
        <f t="shared" si="3"/>
        <v>118827.85389801959</v>
      </c>
      <c r="D27" s="126">
        <f t="shared" si="0"/>
        <v>7723.8105033712736</v>
      </c>
      <c r="E27" s="127"/>
      <c r="F27" s="126">
        <f t="shared" si="1"/>
        <v>-5658.4692332390259</v>
      </c>
      <c r="G27" s="127"/>
      <c r="H27" s="126">
        <f t="shared" si="2"/>
        <v>120893.19516815184</v>
      </c>
      <c r="I27" s="127"/>
    </row>
    <row r="28" spans="2:10" x14ac:dyDescent="0.25">
      <c r="B28" s="121">
        <v>10</v>
      </c>
      <c r="C28" s="128">
        <f t="shared" si="3"/>
        <v>120893.19516815184</v>
      </c>
      <c r="D28" s="129">
        <f>+C28*0.065</f>
        <v>7858.0576859298699</v>
      </c>
      <c r="E28" s="130"/>
      <c r="F28" s="129">
        <f t="shared" si="1"/>
        <v>-5756.8188175310497</v>
      </c>
      <c r="G28" s="130"/>
      <c r="H28" s="129">
        <f t="shared" si="2"/>
        <v>122994.43403655067</v>
      </c>
      <c r="I28" s="130"/>
    </row>
    <row r="29" spans="2:10" x14ac:dyDescent="0.25">
      <c r="B29" s="142" t="s">
        <v>167</v>
      </c>
      <c r="C29" s="119">
        <f>+H28</f>
        <v>122994.43403655067</v>
      </c>
      <c r="D29" s="143">
        <f>+C29*(1+0.065)</f>
        <v>130989.07224892644</v>
      </c>
      <c r="E29" s="143"/>
      <c r="F29" s="144">
        <v>1.43E-2</v>
      </c>
      <c r="G29" s="143"/>
      <c r="H29" s="143">
        <f>+D29/F29</f>
        <v>9160074.9824424088</v>
      </c>
      <c r="I29" s="143"/>
    </row>
    <row r="30" spans="2:10" x14ac:dyDescent="0.25">
      <c r="B30" s="140"/>
      <c r="C30" s="141"/>
      <c r="D30" s="141"/>
      <c r="E30" s="141"/>
      <c r="F30" s="145" t="s">
        <v>168</v>
      </c>
      <c r="G30" s="146"/>
      <c r="H30" s="146">
        <f>+H28+H29</f>
        <v>9283069.4164789598</v>
      </c>
      <c r="I30" s="147"/>
    </row>
    <row r="32" spans="2:10" x14ac:dyDescent="0.25">
      <c r="B32" s="131" t="s">
        <v>166</v>
      </c>
      <c r="C32" s="132"/>
      <c r="D32" s="132"/>
      <c r="E32" s="132"/>
      <c r="F32" s="132"/>
      <c r="G32" s="132"/>
      <c r="H32" s="132"/>
      <c r="I32" s="133"/>
    </row>
    <row r="33" spans="2:9" x14ac:dyDescent="0.25">
      <c r="B33" s="134"/>
      <c r="C33" s="135"/>
      <c r="D33" s="135"/>
      <c r="E33" s="135"/>
      <c r="F33" s="135"/>
      <c r="G33" s="135"/>
      <c r="H33" s="135"/>
      <c r="I33" s="136"/>
    </row>
    <row r="34" spans="2:9" x14ac:dyDescent="0.25">
      <c r="B34" s="137"/>
      <c r="C34" s="138"/>
      <c r="D34" s="138"/>
      <c r="E34" s="138"/>
      <c r="F34" s="138"/>
      <c r="G34" s="138"/>
      <c r="H34" s="138"/>
      <c r="I34" s="139"/>
    </row>
    <row r="36" spans="2:9" ht="28.8" customHeight="1" x14ac:dyDescent="0.25">
      <c r="B36" s="119" t="s">
        <v>161</v>
      </c>
      <c r="C36" s="119" t="s">
        <v>164</v>
      </c>
      <c r="D36" s="148" t="s">
        <v>169</v>
      </c>
      <c r="E36" s="149"/>
      <c r="F36" s="122" t="s">
        <v>170</v>
      </c>
      <c r="G36" s="123"/>
      <c r="H36" s="148" t="s">
        <v>171</v>
      </c>
      <c r="I36" s="149"/>
    </row>
    <row r="37" spans="2:9" x14ac:dyDescent="0.25">
      <c r="B37" s="120">
        <v>1</v>
      </c>
      <c r="C37" s="125">
        <f>+'Cash Flow '!C39</f>
        <v>133879</v>
      </c>
      <c r="D37" s="151">
        <f>+C37*0.2</f>
        <v>26775.800000000003</v>
      </c>
      <c r="E37" s="152"/>
      <c r="F37" s="126">
        <f>(C37/1.1)-C37</f>
        <v>-12170.818181818191</v>
      </c>
      <c r="G37" s="127"/>
      <c r="H37" s="126">
        <f>+C37+D37+F37</f>
        <v>148483.98181818181</v>
      </c>
      <c r="I37" s="127"/>
    </row>
    <row r="38" spans="2:9" x14ac:dyDescent="0.25">
      <c r="B38" s="120">
        <f>+B37+1</f>
        <v>2</v>
      </c>
      <c r="C38" s="125">
        <f>+H37</f>
        <v>148483.98181818181</v>
      </c>
      <c r="D38" s="126">
        <f>+C38*0.2</f>
        <v>29696.796363636364</v>
      </c>
      <c r="E38" s="127"/>
      <c r="F38" s="126">
        <f>(C38/1.1)-C38</f>
        <v>-13498.543801652908</v>
      </c>
      <c r="G38" s="127"/>
      <c r="H38" s="126">
        <f>+C38+D38+F38</f>
        <v>164682.23438016526</v>
      </c>
      <c r="I38" s="127"/>
    </row>
    <row r="39" spans="2:9" x14ac:dyDescent="0.25">
      <c r="B39" s="120">
        <f t="shared" ref="B39:B46" si="4">+B38+1</f>
        <v>3</v>
      </c>
      <c r="C39" s="125">
        <f>+H38</f>
        <v>164682.23438016526</v>
      </c>
      <c r="D39" s="126">
        <f>+C39*0.2</f>
        <v>32936.446876033056</v>
      </c>
      <c r="E39" s="127"/>
      <c r="F39" s="126">
        <f>(C39/1.1)-C39</f>
        <v>-14971.112216378679</v>
      </c>
      <c r="G39" s="127"/>
      <c r="H39" s="126">
        <f>+C39+D39+F39</f>
        <v>182647.56903981965</v>
      </c>
      <c r="I39" s="127"/>
    </row>
    <row r="40" spans="2:9" x14ac:dyDescent="0.25">
      <c r="B40" s="120">
        <f t="shared" si="4"/>
        <v>4</v>
      </c>
      <c r="C40" s="125">
        <f>+H39</f>
        <v>182647.56903981965</v>
      </c>
      <c r="D40" s="126">
        <f>+C40*0.15</f>
        <v>27397.135355972947</v>
      </c>
      <c r="E40" s="127"/>
      <c r="F40" s="126">
        <f>(C40/1.1)-C40</f>
        <v>-16604.324458165444</v>
      </c>
      <c r="G40" s="127"/>
      <c r="H40" s="126">
        <f>+C40+D40+F40</f>
        <v>193440.37993762715</v>
      </c>
      <c r="I40" s="127"/>
    </row>
    <row r="41" spans="2:9" x14ac:dyDescent="0.25">
      <c r="B41" s="120">
        <f t="shared" si="4"/>
        <v>5</v>
      </c>
      <c r="C41" s="125">
        <f>+H40</f>
        <v>193440.37993762715</v>
      </c>
      <c r="D41" s="126">
        <f>+C41*0.15</f>
        <v>29016.056990644072</v>
      </c>
      <c r="E41" s="127"/>
      <c r="F41" s="126">
        <f>(C41/1.1)-C41</f>
        <v>-17585.489085238834</v>
      </c>
      <c r="G41" s="127"/>
      <c r="H41" s="126">
        <f>+C41+D41+F41</f>
        <v>204870.94784303239</v>
      </c>
      <c r="I41" s="127"/>
    </row>
    <row r="42" spans="2:9" x14ac:dyDescent="0.25">
      <c r="B42" s="120">
        <f t="shared" si="4"/>
        <v>6</v>
      </c>
      <c r="C42" s="125">
        <f>+H41</f>
        <v>204870.94784303239</v>
      </c>
      <c r="D42" s="126">
        <f>+C42*0.15</f>
        <v>30730.642176454858</v>
      </c>
      <c r="E42" s="127"/>
      <c r="F42" s="126">
        <f>(C42/1.1)-C42</f>
        <v>-18624.631622093875</v>
      </c>
      <c r="G42" s="127"/>
      <c r="H42" s="126">
        <f>+C42+D42+F42</f>
        <v>216976.95839739338</v>
      </c>
      <c r="I42" s="127"/>
    </row>
    <row r="43" spans="2:9" x14ac:dyDescent="0.25">
      <c r="B43" s="120">
        <f t="shared" si="4"/>
        <v>7</v>
      </c>
      <c r="C43" s="125">
        <f>+H42</f>
        <v>216976.95839739338</v>
      </c>
      <c r="D43" s="126">
        <f>+C43*0.15</f>
        <v>32546.543759609005</v>
      </c>
      <c r="E43" s="127"/>
      <c r="F43" s="126">
        <f>(C43/1.1)-C43</f>
        <v>-19725.178036126686</v>
      </c>
      <c r="G43" s="127"/>
      <c r="H43" s="126">
        <f>+C43+D43+F43</f>
        <v>229798.32412087571</v>
      </c>
      <c r="I43" s="127"/>
    </row>
    <row r="44" spans="2:9" x14ac:dyDescent="0.25">
      <c r="B44" s="120">
        <f t="shared" si="4"/>
        <v>8</v>
      </c>
      <c r="C44" s="125">
        <f>+H43</f>
        <v>229798.32412087571</v>
      </c>
      <c r="D44" s="126">
        <f>+C44*0.15</f>
        <v>34469.748618131358</v>
      </c>
      <c r="E44" s="127"/>
      <c r="F44" s="126">
        <f>(C44/1.1)-C44</f>
        <v>-20890.756738261436</v>
      </c>
      <c r="G44" s="127"/>
      <c r="H44" s="126">
        <f>+C44+D44+F44</f>
        <v>243377.31600074563</v>
      </c>
      <c r="I44" s="127"/>
    </row>
    <row r="45" spans="2:9" x14ac:dyDescent="0.25">
      <c r="B45" s="120">
        <f t="shared" si="4"/>
        <v>9</v>
      </c>
      <c r="C45" s="125">
        <f>+H44</f>
        <v>243377.31600074563</v>
      </c>
      <c r="D45" s="126">
        <f>+C45*0.1</f>
        <v>24337.731600074563</v>
      </c>
      <c r="E45" s="127"/>
      <c r="F45" s="126">
        <f>(C45/1.1)-C45</f>
        <v>-22125.210545522335</v>
      </c>
      <c r="G45" s="127"/>
      <c r="H45" s="126">
        <f>+C45+D45+F45</f>
        <v>245589.83705529786</v>
      </c>
      <c r="I45" s="127"/>
    </row>
    <row r="46" spans="2:9" x14ac:dyDescent="0.25">
      <c r="B46" s="121">
        <f t="shared" si="4"/>
        <v>10</v>
      </c>
      <c r="C46" s="128">
        <f>+H45</f>
        <v>245589.83705529786</v>
      </c>
      <c r="D46" s="129">
        <f>+C46*0.1</f>
        <v>24558.983705529787</v>
      </c>
      <c r="E46" s="130"/>
      <c r="F46" s="129">
        <f>(C46/1.1)-C46</f>
        <v>-22326.348823208915</v>
      </c>
      <c r="G46" s="130"/>
      <c r="H46" s="129">
        <f>+C46+D46+F46</f>
        <v>247822.47193761871</v>
      </c>
      <c r="I46" s="130"/>
    </row>
    <row r="47" spans="2:9" x14ac:dyDescent="0.25">
      <c r="B47" s="60" t="s">
        <v>167</v>
      </c>
      <c r="C47" s="60">
        <f>+H46</f>
        <v>247822.47193761871</v>
      </c>
      <c r="D47" s="124">
        <f>+C47*(1+0.01)</f>
        <v>250300.6966569949</v>
      </c>
      <c r="E47" s="118"/>
      <c r="F47" s="153">
        <v>1.4999999999999999E-2</v>
      </c>
      <c r="G47" s="154"/>
      <c r="H47" s="124">
        <f>+D47/F47</f>
        <v>16686713.110466328</v>
      </c>
      <c r="I47" s="118"/>
    </row>
    <row r="48" spans="2:9" ht="14.4" customHeight="1" x14ac:dyDescent="0.25">
      <c r="E48" s="160" t="s">
        <v>181</v>
      </c>
      <c r="F48" s="161"/>
      <c r="G48" s="162"/>
      <c r="H48" s="155">
        <f>+H46+H47</f>
        <v>16934535.582403947</v>
      </c>
      <c r="I48" s="156"/>
    </row>
    <row r="51" spans="2:8" x14ac:dyDescent="0.25">
      <c r="B51" s="166" t="s">
        <v>172</v>
      </c>
      <c r="C51" s="166"/>
      <c r="D51" s="166" t="s">
        <v>174</v>
      </c>
      <c r="E51" s="166"/>
      <c r="F51" s="166" t="s">
        <v>173</v>
      </c>
      <c r="G51" s="166"/>
      <c r="H51" s="166"/>
    </row>
    <row r="52" spans="2:8" x14ac:dyDescent="0.25">
      <c r="B52" s="164">
        <f>+H30</f>
        <v>9283069.4164789598</v>
      </c>
      <c r="C52" s="164"/>
      <c r="D52" s="164">
        <f>+F52-B52</f>
        <v>7651466.1659249868</v>
      </c>
      <c r="E52" s="164"/>
      <c r="F52" s="164">
        <f>+H48</f>
        <v>16934535.582403947</v>
      </c>
      <c r="G52" s="164"/>
      <c r="H52" s="164"/>
    </row>
    <row r="54" spans="2:8" x14ac:dyDescent="0.25">
      <c r="B54" s="60" t="s">
        <v>23</v>
      </c>
      <c r="C54" s="60" t="s">
        <v>175</v>
      </c>
      <c r="D54" s="60" t="s">
        <v>176</v>
      </c>
      <c r="E54" s="60"/>
      <c r="F54" s="163" t="s">
        <v>177</v>
      </c>
      <c r="G54" s="163"/>
    </row>
    <row r="55" spans="2:8" x14ac:dyDescent="0.25">
      <c r="B55" s="60" t="str">
        <f>+B51</f>
        <v>Bird In Hand</v>
      </c>
      <c r="C55" s="60">
        <f>+B52</f>
        <v>9283069.4164789598</v>
      </c>
      <c r="D55" s="163">
        <v>25835.789409404999</v>
      </c>
      <c r="E55" s="163"/>
      <c r="F55" s="163">
        <f>+C55/D55</f>
        <v>359.31046152201742</v>
      </c>
      <c r="G55" s="163"/>
    </row>
    <row r="56" spans="2:8" x14ac:dyDescent="0.25">
      <c r="B56" s="60" t="str">
        <f>+D51</f>
        <v>Margin of Safety</v>
      </c>
      <c r="C56" s="60">
        <f>+D52</f>
        <v>7651466.1659249868</v>
      </c>
      <c r="D56" s="163">
        <v>25835.789409404999</v>
      </c>
      <c r="E56" s="163"/>
      <c r="F56" s="163">
        <f>+C56/D56</f>
        <v>296.15763020345815</v>
      </c>
      <c r="G56" s="163"/>
    </row>
    <row r="57" spans="2:8" x14ac:dyDescent="0.25">
      <c r="B57" s="60" t="str">
        <f>+F51</f>
        <v>Future Bird in Bush</v>
      </c>
      <c r="C57" s="60">
        <f>+F52</f>
        <v>16934535.582403947</v>
      </c>
      <c r="D57" s="163">
        <v>25835.789409404999</v>
      </c>
      <c r="E57" s="163"/>
      <c r="F57" s="163">
        <f>+C57/D57</f>
        <v>655.46809172547557</v>
      </c>
      <c r="G57" s="163"/>
    </row>
    <row r="58" spans="2:8" ht="14.4" customHeight="1" x14ac:dyDescent="0.25">
      <c r="C58" s="157" t="s">
        <v>179</v>
      </c>
      <c r="D58" s="157"/>
      <c r="E58" s="157"/>
      <c r="F58" s="165">
        <f>+F56/F55</f>
        <v>0.82423881828809631</v>
      </c>
      <c r="G58" s="165"/>
    </row>
  </sheetData>
  <mergeCells count="100">
    <mergeCell ref="F57:G57"/>
    <mergeCell ref="E48:G48"/>
    <mergeCell ref="F58:G58"/>
    <mergeCell ref="F54:G54"/>
    <mergeCell ref="D55:E55"/>
    <mergeCell ref="D56:E56"/>
    <mergeCell ref="F55:G55"/>
    <mergeCell ref="F56:G56"/>
    <mergeCell ref="B51:C51"/>
    <mergeCell ref="B52:C52"/>
    <mergeCell ref="F51:H51"/>
    <mergeCell ref="F52:H52"/>
    <mergeCell ref="D51:E51"/>
    <mergeCell ref="D52:E52"/>
    <mergeCell ref="D47:E47"/>
    <mergeCell ref="F47:G47"/>
    <mergeCell ref="H47:I47"/>
    <mergeCell ref="H48:I48"/>
    <mergeCell ref="D57:E57"/>
    <mergeCell ref="C58:E58"/>
    <mergeCell ref="D46:E46"/>
    <mergeCell ref="F46:G46"/>
    <mergeCell ref="H46:I46"/>
    <mergeCell ref="D29:E29"/>
    <mergeCell ref="F29:G29"/>
    <mergeCell ref="H29:I29"/>
    <mergeCell ref="F30:G30"/>
    <mergeCell ref="H30:I30"/>
    <mergeCell ref="D44:E44"/>
    <mergeCell ref="F44:G44"/>
    <mergeCell ref="H44:I44"/>
    <mergeCell ref="D45:E45"/>
    <mergeCell ref="F45:G45"/>
    <mergeCell ref="H45:I45"/>
    <mergeCell ref="D42:E42"/>
    <mergeCell ref="F42:G42"/>
    <mergeCell ref="H42:I42"/>
    <mergeCell ref="D43:E43"/>
    <mergeCell ref="F43:G43"/>
    <mergeCell ref="H43:I43"/>
    <mergeCell ref="D40:E40"/>
    <mergeCell ref="F40:G40"/>
    <mergeCell ref="H40:I40"/>
    <mergeCell ref="D41:E41"/>
    <mergeCell ref="F41:G41"/>
    <mergeCell ref="H41:I41"/>
    <mergeCell ref="D38:E38"/>
    <mergeCell ref="F38:G38"/>
    <mergeCell ref="H38:I38"/>
    <mergeCell ref="D39:E39"/>
    <mergeCell ref="F39:G39"/>
    <mergeCell ref="H39:I39"/>
    <mergeCell ref="B32:I34"/>
    <mergeCell ref="D36:E36"/>
    <mergeCell ref="F36:G36"/>
    <mergeCell ref="H36:I36"/>
    <mergeCell ref="D37:E37"/>
    <mergeCell ref="F37:G37"/>
    <mergeCell ref="H37:I37"/>
    <mergeCell ref="H24:I24"/>
    <mergeCell ref="H25:I25"/>
    <mergeCell ref="H26:I26"/>
    <mergeCell ref="H27:I27"/>
    <mergeCell ref="H28:I28"/>
    <mergeCell ref="B14:J16"/>
    <mergeCell ref="F25:G25"/>
    <mergeCell ref="F26:G26"/>
    <mergeCell ref="F27:G27"/>
    <mergeCell ref="F28:G28"/>
    <mergeCell ref="H18:I18"/>
    <mergeCell ref="H19:I19"/>
    <mergeCell ref="H20:I20"/>
    <mergeCell ref="H21:I21"/>
    <mergeCell ref="H22:I22"/>
    <mergeCell ref="H23:I23"/>
    <mergeCell ref="D25:E25"/>
    <mergeCell ref="D26:E26"/>
    <mergeCell ref="D27:E27"/>
    <mergeCell ref="D28:E28"/>
    <mergeCell ref="F19:G19"/>
    <mergeCell ref="F20:G20"/>
    <mergeCell ref="F21:G21"/>
    <mergeCell ref="F22:G22"/>
    <mergeCell ref="F24:G24"/>
    <mergeCell ref="F23:G23"/>
    <mergeCell ref="D19:E19"/>
    <mergeCell ref="D20:E20"/>
    <mergeCell ref="D21:E21"/>
    <mergeCell ref="D22:E22"/>
    <mergeCell ref="D23:E23"/>
    <mergeCell ref="D24:E24"/>
    <mergeCell ref="B5:J6"/>
    <mergeCell ref="D9:J10"/>
    <mergeCell ref="B9:B10"/>
    <mergeCell ref="C9:C10"/>
    <mergeCell ref="D18:E18"/>
    <mergeCell ref="F18:G18"/>
    <mergeCell ref="B2:F3"/>
    <mergeCell ref="D8:G8"/>
    <mergeCell ref="D11:K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55544-008B-42CA-8EDE-B4185BDFC1E3}">
  <dimension ref="B2:U8"/>
  <sheetViews>
    <sheetView workbookViewId="0">
      <selection activeCell="B2" sqref="B2:U5"/>
    </sheetView>
  </sheetViews>
  <sheetFormatPr defaultRowHeight="14.4" x14ac:dyDescent="0.3"/>
  <cols>
    <col min="8" max="8" width="27.44140625" customWidth="1"/>
  </cols>
  <sheetData>
    <row r="2" spans="2:21" ht="14.4" customHeight="1" x14ac:dyDescent="0.3">
      <c r="B2" s="85" t="s">
        <v>150</v>
      </c>
      <c r="C2" s="85"/>
      <c r="D2" s="85"/>
      <c r="E2" s="85"/>
      <c r="F2" s="85"/>
      <c r="G2" s="85"/>
      <c r="H2" s="85"/>
      <c r="I2" s="85"/>
      <c r="J2" s="85"/>
      <c r="K2" s="85"/>
      <c r="L2" s="85"/>
      <c r="M2" s="85"/>
      <c r="N2" s="85"/>
      <c r="O2" s="85"/>
      <c r="P2" s="85"/>
      <c r="Q2" s="85"/>
      <c r="R2" s="85"/>
      <c r="S2" s="85"/>
      <c r="T2" s="85"/>
      <c r="U2" s="85"/>
    </row>
    <row r="3" spans="2:21" x14ac:dyDescent="0.3">
      <c r="B3" s="85"/>
      <c r="C3" s="85"/>
      <c r="D3" s="85"/>
      <c r="E3" s="85"/>
      <c r="F3" s="85"/>
      <c r="G3" s="85"/>
      <c r="H3" s="85"/>
      <c r="I3" s="85"/>
      <c r="J3" s="85"/>
      <c r="K3" s="85"/>
      <c r="L3" s="85"/>
      <c r="M3" s="85"/>
      <c r="N3" s="85"/>
      <c r="O3" s="85"/>
      <c r="P3" s="85"/>
      <c r="Q3" s="85"/>
      <c r="R3" s="85"/>
      <c r="S3" s="85"/>
      <c r="T3" s="85"/>
      <c r="U3" s="85"/>
    </row>
    <row r="4" spans="2:21" x14ac:dyDescent="0.3">
      <c r="B4" s="85"/>
      <c r="C4" s="85"/>
      <c r="D4" s="85"/>
      <c r="E4" s="85"/>
      <c r="F4" s="85"/>
      <c r="G4" s="85"/>
      <c r="H4" s="85"/>
      <c r="I4" s="85"/>
      <c r="J4" s="85"/>
      <c r="K4" s="85"/>
      <c r="L4" s="85"/>
      <c r="M4" s="85"/>
      <c r="N4" s="85"/>
      <c r="O4" s="85"/>
      <c r="P4" s="85"/>
      <c r="Q4" s="85"/>
      <c r="R4" s="85"/>
      <c r="S4" s="85"/>
      <c r="T4" s="85"/>
      <c r="U4" s="85"/>
    </row>
    <row r="5" spans="2:21" x14ac:dyDescent="0.3">
      <c r="B5" s="85"/>
      <c r="C5" s="85"/>
      <c r="D5" s="85"/>
      <c r="E5" s="85"/>
      <c r="F5" s="85"/>
      <c r="G5" s="85"/>
      <c r="H5" s="85"/>
      <c r="I5" s="85"/>
      <c r="J5" s="85"/>
      <c r="K5" s="85"/>
      <c r="L5" s="85"/>
      <c r="M5" s="85"/>
      <c r="N5" s="85"/>
      <c r="O5" s="85"/>
      <c r="P5" s="85"/>
      <c r="Q5" s="85"/>
      <c r="R5" s="85"/>
      <c r="S5" s="85"/>
      <c r="T5" s="85"/>
      <c r="U5" s="85"/>
    </row>
    <row r="6" spans="2:21" x14ac:dyDescent="0.3">
      <c r="B6" s="84"/>
      <c r="C6" s="84"/>
      <c r="D6" s="84"/>
      <c r="E6" s="84"/>
      <c r="F6" s="84"/>
      <c r="G6" s="84"/>
      <c r="H6" s="84"/>
      <c r="I6" s="84"/>
      <c r="J6" s="84"/>
      <c r="K6" s="84"/>
      <c r="L6" s="84"/>
      <c r="M6" s="84"/>
      <c r="N6" s="84"/>
      <c r="O6" s="84"/>
      <c r="P6" s="84"/>
      <c r="Q6" s="84"/>
      <c r="R6" s="84"/>
      <c r="S6" s="84"/>
    </row>
    <row r="7" spans="2:21" ht="35.4" customHeight="1" x14ac:dyDescent="0.3">
      <c r="B7" s="84"/>
      <c r="C7" s="84"/>
      <c r="D7" s="84"/>
      <c r="E7" s="84"/>
      <c r="F7" s="84"/>
      <c r="G7" s="84"/>
      <c r="H7" s="84"/>
      <c r="I7" s="84"/>
      <c r="J7" s="84"/>
      <c r="K7" s="84"/>
      <c r="L7" s="84"/>
      <c r="M7" s="84"/>
      <c r="N7" s="84"/>
      <c r="O7" s="84"/>
      <c r="P7" s="84"/>
      <c r="Q7" s="84"/>
      <c r="R7" s="84"/>
      <c r="S7" s="84"/>
    </row>
    <row r="8" spans="2:21" x14ac:dyDescent="0.3">
      <c r="B8" s="68"/>
      <c r="C8" s="68"/>
      <c r="D8" s="68"/>
      <c r="E8" s="68"/>
      <c r="F8" s="68"/>
      <c r="G8" s="68"/>
      <c r="H8" s="68"/>
    </row>
  </sheetData>
  <mergeCells count="1">
    <mergeCell ref="B2:U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Main</vt:lpstr>
      <vt:lpstr>Income Statement</vt:lpstr>
      <vt:lpstr>Balance sheet</vt:lpstr>
      <vt:lpstr>Cash Flow </vt:lpstr>
      <vt:lpstr>Birds Equation</vt:lpstr>
      <vt:lpstr>Trash</vt:lpstr>
      <vt:lpstr>'Income Statement'!Print_Area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dc:creator>
  <cp:lastModifiedBy>Jay Sejpal</cp:lastModifiedBy>
  <cp:lastPrinted>2025-06-01T09:24:45Z</cp:lastPrinted>
  <dcterms:created xsi:type="dcterms:W3CDTF">2015-06-05T18:17:20Z</dcterms:created>
  <dcterms:modified xsi:type="dcterms:W3CDTF">2025-06-01T15:08:20Z</dcterms:modified>
</cp:coreProperties>
</file>