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investing\Analysis\Lotus Dew Analysis\Interarch Building Solution Ltd\"/>
    </mc:Choice>
  </mc:AlternateContent>
  <xr:revisionPtr revIDLastSave="0" documentId="13_ncr:1_{47837222-A169-4F3B-8DA9-C0F369CBB57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shboard" sheetId="1" r:id="rId1"/>
    <sheet name="Financial Statements" sheetId="5" r:id="rId2"/>
    <sheet name="DCF Model" sheetId="2" r:id="rId3"/>
    <sheet name="Munger Heat Map" sheetId="3" state="hidden" r:id="rId4"/>
    <sheet name="Relative valuation" sheetId="6" r:id="rId5"/>
    <sheet name="Scenario" sheetId="4" r:id="rId6"/>
    <sheet name="Growth and Assumption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4" l="1"/>
  <c r="D22" i="4"/>
  <c r="B9" i="4"/>
  <c r="B10" i="4" s="1"/>
  <c r="F8" i="4"/>
  <c r="C4" i="4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C30" i="4" s="1"/>
  <c r="L42" i="2"/>
  <c r="L47" i="2" s="1"/>
  <c r="I18" i="2" s="1"/>
  <c r="I17" i="2"/>
  <c r="I16" i="2"/>
  <c r="I15" i="2"/>
  <c r="I14" i="2"/>
  <c r="I13" i="2"/>
  <c r="I12" i="2"/>
  <c r="I11" i="2"/>
  <c r="I10" i="2"/>
  <c r="I9" i="2"/>
  <c r="I8" i="2"/>
  <c r="D15" i="6"/>
  <c r="D14" i="6"/>
  <c r="L17" i="6"/>
  <c r="L16" i="6"/>
  <c r="L14" i="6"/>
  <c r="M17" i="6" s="1"/>
  <c r="K11" i="6"/>
  <c r="J11" i="6"/>
  <c r="I11" i="6"/>
  <c r="I12" i="6"/>
  <c r="D13" i="6" s="1"/>
  <c r="C13" i="6"/>
  <c r="C11" i="6"/>
  <c r="C10" i="6"/>
  <c r="D10" i="6"/>
  <c r="H8" i="7"/>
  <c r="G8" i="7"/>
  <c r="F8" i="7"/>
  <c r="E8" i="7"/>
  <c r="D8" i="7"/>
  <c r="C8" i="7"/>
  <c r="H4" i="7"/>
  <c r="G4" i="7"/>
  <c r="F4" i="7"/>
  <c r="E4" i="7"/>
  <c r="D4" i="7"/>
  <c r="C4" i="7"/>
  <c r="D30" i="5"/>
  <c r="C30" i="5"/>
  <c r="C15" i="5"/>
  <c r="C36" i="2" s="1"/>
  <c r="C43" i="2" s="1"/>
  <c r="I24" i="2"/>
  <c r="G9" i="2"/>
  <c r="G10" i="2" s="1"/>
  <c r="G11" i="2" s="1"/>
  <c r="G12" i="2" s="1"/>
  <c r="G13" i="2" s="1"/>
  <c r="G14" i="2" s="1"/>
  <c r="G15" i="2" s="1"/>
  <c r="G16" i="2" s="1"/>
  <c r="G17" i="2" s="1"/>
  <c r="I49" i="2"/>
  <c r="H4" i="2" s="1"/>
  <c r="K17" i="2" s="1"/>
  <c r="I43" i="2"/>
  <c r="C37" i="2"/>
  <c r="C44" i="2"/>
  <c r="E37" i="2"/>
  <c r="E44" i="2" s="1"/>
  <c r="D37" i="2"/>
  <c r="D44" i="2" s="1"/>
  <c r="E36" i="2"/>
  <c r="E43" i="2" s="1"/>
  <c r="D36" i="2"/>
  <c r="D43" i="2" s="1"/>
  <c r="E34" i="2"/>
  <c r="E41" i="2" s="1"/>
  <c r="C23" i="2"/>
  <c r="C24" i="2" s="1"/>
  <c r="C18" i="2"/>
  <c r="C17" i="2"/>
  <c r="C9" i="2"/>
  <c r="C38" i="2" s="1"/>
  <c r="C45" i="2" s="1"/>
  <c r="C7" i="2"/>
  <c r="C8" i="2" s="1"/>
  <c r="E23" i="2"/>
  <c r="E24" i="2" s="1"/>
  <c r="D23" i="2"/>
  <c r="D24" i="2" s="1"/>
  <c r="E9" i="2"/>
  <c r="E38" i="2" s="1"/>
  <c r="E45" i="2" s="1"/>
  <c r="E7" i="2"/>
  <c r="E8" i="2" s="1"/>
  <c r="E17" i="2"/>
  <c r="E18" i="2"/>
  <c r="D18" i="2"/>
  <c r="D17" i="2"/>
  <c r="D9" i="2"/>
  <c r="D38" i="2" s="1"/>
  <c r="D45" i="2" s="1"/>
  <c r="D7" i="2"/>
  <c r="D8" i="2" s="1"/>
  <c r="J56" i="5"/>
  <c r="J62" i="5" s="1"/>
  <c r="J37" i="5"/>
  <c r="J38" i="5" s="1"/>
  <c r="E83" i="5" s="1"/>
  <c r="I56" i="5"/>
  <c r="I62" i="5" s="1"/>
  <c r="H56" i="5"/>
  <c r="H62" i="5"/>
  <c r="J48" i="5"/>
  <c r="I48" i="5"/>
  <c r="H48" i="5"/>
  <c r="I38" i="5"/>
  <c r="D73" i="5" s="1"/>
  <c r="H38" i="5"/>
  <c r="C83" i="5" s="1"/>
  <c r="E62" i="5"/>
  <c r="D62" i="5"/>
  <c r="C62" i="5"/>
  <c r="E48" i="5"/>
  <c r="D48" i="5"/>
  <c r="C48" i="5"/>
  <c r="J27" i="5"/>
  <c r="J28" i="5" s="1"/>
  <c r="I27" i="5"/>
  <c r="I28" i="5" s="1"/>
  <c r="H27" i="5"/>
  <c r="H28" i="5" s="1"/>
  <c r="G27" i="5"/>
  <c r="G28" i="5" s="1"/>
  <c r="E27" i="5"/>
  <c r="E28" i="5" s="1"/>
  <c r="D27" i="5"/>
  <c r="D28" i="5" s="1"/>
  <c r="E21" i="5"/>
  <c r="E20" i="5"/>
  <c r="D21" i="5"/>
  <c r="D20" i="5"/>
  <c r="E8" i="5"/>
  <c r="E67" i="5" s="1"/>
  <c r="E17" i="5"/>
  <c r="Q8" i="5"/>
  <c r="R8" i="5"/>
  <c r="S8" i="5"/>
  <c r="T8" i="5"/>
  <c r="V8" i="5"/>
  <c r="W8" i="5"/>
  <c r="X8" i="5"/>
  <c r="Y8" i="5"/>
  <c r="AA8" i="5"/>
  <c r="AB8" i="5"/>
  <c r="AC8" i="5"/>
  <c r="AC19" i="5" s="1"/>
  <c r="AC22" i="5" s="1"/>
  <c r="AC25" i="5" s="1"/>
  <c r="AD8" i="5"/>
  <c r="Q17" i="5"/>
  <c r="R17" i="5"/>
  <c r="S17" i="5"/>
  <c r="T17" i="5"/>
  <c r="V17" i="5"/>
  <c r="W17" i="5"/>
  <c r="X17" i="5"/>
  <c r="Y17" i="5"/>
  <c r="AA17" i="5"/>
  <c r="AB17" i="5"/>
  <c r="AC17" i="5"/>
  <c r="AD17" i="5"/>
  <c r="C24" i="5"/>
  <c r="C21" i="5"/>
  <c r="C20" i="5"/>
  <c r="C16" i="5"/>
  <c r="C14" i="5"/>
  <c r="J44" i="2" s="1"/>
  <c r="C13" i="5"/>
  <c r="C12" i="5"/>
  <c r="C11" i="5"/>
  <c r="C7" i="5"/>
  <c r="C6" i="5"/>
  <c r="O17" i="5"/>
  <c r="N17" i="5"/>
  <c r="M17" i="5"/>
  <c r="L17" i="5"/>
  <c r="O8" i="5"/>
  <c r="N8" i="5"/>
  <c r="M8" i="5"/>
  <c r="L8" i="5"/>
  <c r="J17" i="5"/>
  <c r="I17" i="5"/>
  <c r="H17" i="5"/>
  <c r="G17" i="5"/>
  <c r="J8" i="5"/>
  <c r="I8" i="5"/>
  <c r="H8" i="5"/>
  <c r="G8" i="5"/>
  <c r="D9" i="1"/>
  <c r="D7" i="1"/>
  <c r="D10" i="1" s="1"/>
  <c r="C34" i="4" l="1"/>
  <c r="D18" i="4" s="1"/>
  <c r="C32" i="4"/>
  <c r="E8" i="4"/>
  <c r="B11" i="4"/>
  <c r="F10" i="4"/>
  <c r="F9" i="4"/>
  <c r="L18" i="6"/>
  <c r="L19" i="6" s="1"/>
  <c r="L21" i="6" s="1"/>
  <c r="C27" i="5"/>
  <c r="C28" i="5" s="1"/>
  <c r="I42" i="2"/>
  <c r="I50" i="2" s="1"/>
  <c r="K14" i="2"/>
  <c r="K13" i="2"/>
  <c r="K15" i="2"/>
  <c r="K16" i="2"/>
  <c r="E19" i="2"/>
  <c r="D10" i="2"/>
  <c r="D12" i="2" s="1"/>
  <c r="D29" i="2" s="1"/>
  <c r="D19" i="2"/>
  <c r="K9" i="2"/>
  <c r="I51" i="2"/>
  <c r="K8" i="2"/>
  <c r="K10" i="2"/>
  <c r="K11" i="2"/>
  <c r="K12" i="2"/>
  <c r="C10" i="2"/>
  <c r="C12" i="2" s="1"/>
  <c r="C29" i="2" s="1"/>
  <c r="C19" i="2"/>
  <c r="E10" i="2"/>
  <c r="E12" i="2" s="1"/>
  <c r="W19" i="5"/>
  <c r="W22" i="5" s="1"/>
  <c r="W25" i="5" s="1"/>
  <c r="I63" i="5"/>
  <c r="D68" i="5"/>
  <c r="E68" i="5"/>
  <c r="E69" i="5"/>
  <c r="H63" i="5"/>
  <c r="C64" i="5" s="1"/>
  <c r="C73" i="5"/>
  <c r="D83" i="5"/>
  <c r="C68" i="5"/>
  <c r="E73" i="5"/>
  <c r="C63" i="5"/>
  <c r="C78" i="5" s="1"/>
  <c r="D63" i="5"/>
  <c r="J63" i="5"/>
  <c r="E63" i="5"/>
  <c r="E78" i="5" s="1"/>
  <c r="E19" i="5"/>
  <c r="E22" i="5" s="1"/>
  <c r="E72" i="5" s="1"/>
  <c r="D17" i="5"/>
  <c r="D8" i="5"/>
  <c r="D67" i="5" s="1"/>
  <c r="D34" i="2" s="1"/>
  <c r="D41" i="2" s="1"/>
  <c r="V19" i="5"/>
  <c r="V22" i="5" s="1"/>
  <c r="V25" i="5" s="1"/>
  <c r="X19" i="5"/>
  <c r="X22" i="5" s="1"/>
  <c r="X25" i="5" s="1"/>
  <c r="AB19" i="5"/>
  <c r="AB22" i="5" s="1"/>
  <c r="AB25" i="5" s="1"/>
  <c r="AA19" i="5"/>
  <c r="AA22" i="5" s="1"/>
  <c r="AA25" i="5" s="1"/>
  <c r="Y19" i="5"/>
  <c r="Y22" i="5" s="1"/>
  <c r="Y25" i="5" s="1"/>
  <c r="T19" i="5"/>
  <c r="T22" i="5" s="1"/>
  <c r="T25" i="5" s="1"/>
  <c r="S19" i="5"/>
  <c r="S22" i="5" s="1"/>
  <c r="S25" i="5" s="1"/>
  <c r="R19" i="5"/>
  <c r="R22" i="5" s="1"/>
  <c r="R25" i="5" s="1"/>
  <c r="Q19" i="5"/>
  <c r="Q22" i="5" s="1"/>
  <c r="Q25" i="5" s="1"/>
  <c r="AD19" i="5"/>
  <c r="AD22" i="5" s="1"/>
  <c r="AD25" i="5" s="1"/>
  <c r="N19" i="5"/>
  <c r="N22" i="5" s="1"/>
  <c r="N25" i="5" s="1"/>
  <c r="O19" i="5"/>
  <c r="O22" i="5" s="1"/>
  <c r="O25" i="5" s="1"/>
  <c r="I19" i="5"/>
  <c r="I22" i="5" s="1"/>
  <c r="J19" i="5"/>
  <c r="J22" i="5" s="1"/>
  <c r="C8" i="5"/>
  <c r="C67" i="5" s="1"/>
  <c r="C34" i="2" s="1"/>
  <c r="C41" i="2" s="1"/>
  <c r="L19" i="5"/>
  <c r="L22" i="5" s="1"/>
  <c r="L25" i="5" s="1"/>
  <c r="M19" i="5"/>
  <c r="M22" i="5" s="1"/>
  <c r="M25" i="5" s="1"/>
  <c r="H19" i="5"/>
  <c r="H22" i="5" s="1"/>
  <c r="G19" i="5"/>
  <c r="G22" i="5" s="1"/>
  <c r="C17" i="5"/>
  <c r="B12" i="4" l="1"/>
  <c r="F11" i="4"/>
  <c r="E9" i="4"/>
  <c r="D26" i="2"/>
  <c r="D28" i="2" s="1"/>
  <c r="C26" i="2"/>
  <c r="C28" i="2" s="1"/>
  <c r="E29" i="2"/>
  <c r="F29" i="2" s="1"/>
  <c r="E26" i="2"/>
  <c r="E28" i="2" s="1"/>
  <c r="C69" i="5"/>
  <c r="E74" i="5"/>
  <c r="E77" i="5"/>
  <c r="E79" i="5" s="1"/>
  <c r="D64" i="5"/>
  <c r="D78" i="5"/>
  <c r="E85" i="5"/>
  <c r="D69" i="5"/>
  <c r="E64" i="5"/>
  <c r="H25" i="5"/>
  <c r="H29" i="5"/>
  <c r="G25" i="5"/>
  <c r="G29" i="5"/>
  <c r="J25" i="5"/>
  <c r="J29" i="5"/>
  <c r="E25" i="5"/>
  <c r="E29" i="5"/>
  <c r="I25" i="5"/>
  <c r="I29" i="5"/>
  <c r="D19" i="5"/>
  <c r="C19" i="5"/>
  <c r="E10" i="4" l="1"/>
  <c r="B13" i="4"/>
  <c r="F12" i="4"/>
  <c r="E82" i="5"/>
  <c r="E84" i="5" s="1"/>
  <c r="E35" i="2"/>
  <c r="E42" i="2" s="1"/>
  <c r="E46" i="2" s="1"/>
  <c r="C22" i="5"/>
  <c r="C72" i="5" s="1"/>
  <c r="C85" i="5"/>
  <c r="D22" i="5"/>
  <c r="D72" i="5" s="1"/>
  <c r="D85" i="5"/>
  <c r="C25" i="5"/>
  <c r="I22" i="2" s="1"/>
  <c r="C29" i="5"/>
  <c r="D25" i="5"/>
  <c r="D29" i="5"/>
  <c r="B14" i="4" l="1"/>
  <c r="F13" i="4"/>
  <c r="E11" i="4"/>
  <c r="D82" i="5"/>
  <c r="D84" i="5" s="1"/>
  <c r="D35" i="2"/>
  <c r="D42" i="2" s="1"/>
  <c r="D46" i="2" s="1"/>
  <c r="C82" i="5"/>
  <c r="C84" i="5" s="1"/>
  <c r="C35" i="2"/>
  <c r="D77" i="5"/>
  <c r="D79" i="5" s="1"/>
  <c r="D74" i="5"/>
  <c r="C77" i="5"/>
  <c r="C79" i="5" s="1"/>
  <c r="C74" i="5"/>
  <c r="E12" i="4" l="1"/>
  <c r="B15" i="4"/>
  <c r="F14" i="4"/>
  <c r="I45" i="2"/>
  <c r="I44" i="2"/>
  <c r="I52" i="2" s="1"/>
  <c r="L40" i="2" s="1"/>
  <c r="C42" i="2"/>
  <c r="C46" i="2" s="1"/>
  <c r="C47" i="2" s="1"/>
  <c r="I7" i="2" s="1"/>
  <c r="B16" i="4" l="1"/>
  <c r="F15" i="4"/>
  <c r="E13" i="4"/>
  <c r="J8" i="2"/>
  <c r="E14" i="4" l="1"/>
  <c r="B17" i="4"/>
  <c r="F17" i="4" s="1"/>
  <c r="F16" i="4"/>
  <c r="J9" i="2"/>
  <c r="E15" i="4" l="1"/>
  <c r="J10" i="2"/>
  <c r="E17" i="4" l="1"/>
  <c r="E16" i="4"/>
  <c r="J11" i="2"/>
  <c r="D20" i="4" l="1"/>
  <c r="D23" i="4" s="1"/>
  <c r="D25" i="4" s="1"/>
  <c r="J12" i="2"/>
  <c r="J13" i="2" l="1"/>
  <c r="J14" i="2" l="1"/>
  <c r="J15" i="2" l="1"/>
  <c r="J16" i="2" l="1"/>
  <c r="J17" i="2" l="1"/>
  <c r="I20" i="2" s="1"/>
  <c r="I23" i="2" s="1"/>
  <c r="L44" i="2"/>
  <c r="I25" i="2" l="1"/>
  <c r="C14" i="6"/>
  <c r="G6" i="1" l="1"/>
  <c r="C1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Jay</author>
  </authors>
  <commentList>
    <comment ref="E9" authorId="0" shapeId="0" xr:uid="{EB122A69-12BD-49B3-9A2D-DB3AA216B8AA}">
      <text>
        <r>
          <rPr>
            <b/>
            <sz val="9"/>
            <color indexed="81"/>
            <rFont val="Tahoma"/>
            <family val="2"/>
          </rPr>
          <t xml:space="preserve">Jay: 
</t>
        </r>
        <r>
          <rPr>
            <sz val="9"/>
            <color indexed="81"/>
            <rFont val="Tahoma"/>
            <family val="2"/>
          </rPr>
          <t>Huge amount is locked in trade receivable.</t>
        </r>
      </text>
    </comment>
    <comment ref="F29" authorId="0" shapeId="0" xr:uid="{1C19B55E-E318-4AE3-87D6-E985046A4ACA}">
      <text>
        <r>
          <rPr>
            <b/>
            <sz val="9"/>
            <color indexed="81"/>
            <rFont val="Tahoma"/>
            <family val="2"/>
          </rPr>
          <t>Jay:</t>
        </r>
        <r>
          <rPr>
            <sz val="9"/>
            <color indexed="81"/>
            <rFont val="Tahoma"/>
            <family val="2"/>
          </rPr>
          <t xml:space="preserve">
Average cashflow of last 3 years.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tc={B4EC9FF8-317A-4C40-9E35-C224894F2765}</author>
    <author>Jay</author>
  </authors>
  <commentList>
    <comment ref="D8" authorId="0" shapeId="0" xr:uid="{B4EC9FF8-317A-4C40-9E35-C224894F276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Pennar Industries had 48% of revenue from PEB
</t>
      </text>
    </comment>
    <comment ref="C16" authorId="1" shapeId="0" xr:uid="{12C7F322-0380-4F13-B143-1B150110CD9C}">
      <text>
        <r>
          <rPr>
            <b/>
            <sz val="9"/>
            <color indexed="81"/>
            <rFont val="Tahoma"/>
            <family val="2"/>
          </rPr>
          <t>Jay:</t>
        </r>
        <r>
          <rPr>
            <sz val="9"/>
            <color indexed="81"/>
            <rFont val="Tahoma"/>
            <family val="2"/>
          </rPr>
          <t xml:space="preserve">
Peg Ratio below 1 is considered good. Peg ratio is a important ratio to analyse multiple with growth.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Jay</author>
  </authors>
  <commentList>
    <comment ref="C13" authorId="0" shapeId="0" xr:uid="{424843BC-6B76-4EE8-A82C-7CC393C673CF}">
      <text>
        <r>
          <rPr>
            <b/>
            <sz val="9"/>
            <color indexed="81"/>
            <rFont val="Tahoma"/>
            <family val="2"/>
          </rPr>
          <t>Jay:</t>
        </r>
        <r>
          <rPr>
            <sz val="9"/>
            <color indexed="81"/>
            <rFont val="Tahoma"/>
            <family val="2"/>
          </rPr>
          <t xml:space="preserve">
As per guidance given by Mr. Nanda(MD) in an interview.</t>
        </r>
      </text>
    </comment>
    <comment ref="C20" authorId="0" shapeId="0" xr:uid="{EEB04C93-FF22-4580-B5EC-CDCC98770F55}">
      <text>
        <r>
          <rPr>
            <b/>
            <sz val="9"/>
            <color indexed="81"/>
            <rFont val="Tahoma"/>
            <family val="2"/>
          </rPr>
          <t>Jay:</t>
        </r>
        <r>
          <rPr>
            <sz val="9"/>
            <color indexed="81"/>
            <rFont val="Tahoma"/>
            <family val="2"/>
          </rPr>
          <t xml:space="preserve">
As per guidance given by Mr. Nanda(MD) in an interview.</t>
        </r>
      </text>
    </comment>
    <comment ref="C27" authorId="0" shapeId="0" xr:uid="{6A57F8E9-375C-4AE0-B8C3-7FDD3DB965F4}">
      <text>
        <r>
          <rPr>
            <b/>
            <sz val="9"/>
            <color indexed="81"/>
            <rFont val="Tahoma"/>
            <family val="2"/>
          </rPr>
          <t>Jay:</t>
        </r>
        <r>
          <rPr>
            <sz val="9"/>
            <color indexed="81"/>
            <rFont val="Tahoma"/>
            <family val="2"/>
          </rPr>
          <t xml:space="preserve">
As per guidance given by Mr. Nanda(MD) in an interview.</t>
        </r>
      </text>
    </comment>
  </commentList>
</comments>
</file>

<file path=xl/sharedStrings.xml><?xml version="1.0" encoding="utf-8"?>
<sst xmlns="http://schemas.openxmlformats.org/spreadsheetml/2006/main" count="380" uniqueCount="259">
  <si>
    <t xml:space="preserve"> </t>
  </si>
  <si>
    <t>Interarch Building Solutions Ltd</t>
  </si>
  <si>
    <t>Price</t>
  </si>
  <si>
    <t>No. of Shares Outstanding</t>
  </si>
  <si>
    <t>Market Cap</t>
  </si>
  <si>
    <t>Cash</t>
  </si>
  <si>
    <t>Debt</t>
  </si>
  <si>
    <t>Enterprise Value</t>
  </si>
  <si>
    <t>Income Statement</t>
  </si>
  <si>
    <t>- Revenue From Operations</t>
  </si>
  <si>
    <t>- Other Income</t>
  </si>
  <si>
    <t>Total Income</t>
  </si>
  <si>
    <t>2024-25</t>
  </si>
  <si>
    <t>2023-24</t>
  </si>
  <si>
    <t>2022-23</t>
  </si>
  <si>
    <t>(In Lakhs)</t>
  </si>
  <si>
    <t>I. Income</t>
  </si>
  <si>
    <t>II. Expenses</t>
  </si>
  <si>
    <t>Cost of Raw Material and Component consumed</t>
  </si>
  <si>
    <t>Changes in inventories of finished goods and work in progress</t>
  </si>
  <si>
    <t>Employee benefits expenses</t>
  </si>
  <si>
    <t>Finance costs</t>
  </si>
  <si>
    <t>Depreciation and amortisation expenses</t>
  </si>
  <si>
    <t>Other Expenses</t>
  </si>
  <si>
    <t>Total Expenses</t>
  </si>
  <si>
    <t>Profit Before Tax</t>
  </si>
  <si>
    <t>Deffered Tax</t>
  </si>
  <si>
    <t>Current Tax</t>
  </si>
  <si>
    <t>Proft for the period/year</t>
  </si>
  <si>
    <t>EPS</t>
  </si>
  <si>
    <t>No. of Outstanding shares</t>
  </si>
  <si>
    <t>Yearly Statement</t>
  </si>
  <si>
    <t>Quaterly Statement</t>
  </si>
  <si>
    <t>Q1</t>
  </si>
  <si>
    <t>Q2</t>
  </si>
  <si>
    <t>Q3</t>
  </si>
  <si>
    <t>Q4</t>
  </si>
  <si>
    <t>FY 2024-25</t>
  </si>
  <si>
    <t>FY 2023-24</t>
  </si>
  <si>
    <t>FY 2022-23</t>
  </si>
  <si>
    <t>FY 2021-22</t>
  </si>
  <si>
    <t>FY 2020-21</t>
  </si>
  <si>
    <t>Gross Profit</t>
  </si>
  <si>
    <t>Gross Margin on Sales</t>
  </si>
  <si>
    <t>Net Profit Margin</t>
  </si>
  <si>
    <t>Balance Sheet</t>
  </si>
  <si>
    <t>Assets</t>
  </si>
  <si>
    <t>Non Current assets</t>
  </si>
  <si>
    <t>Property, Plant and Equipment (PPE)</t>
  </si>
  <si>
    <t>Capital Work in Progress</t>
  </si>
  <si>
    <t>Investment Properties</t>
  </si>
  <si>
    <t>Intangible assets</t>
  </si>
  <si>
    <t>Right to use assets</t>
  </si>
  <si>
    <t>Financial assets</t>
  </si>
  <si>
    <t>- Investments</t>
  </si>
  <si>
    <t>- Trade receivables</t>
  </si>
  <si>
    <t>- Loans</t>
  </si>
  <si>
    <t>- Other Financial assets</t>
  </si>
  <si>
    <t>Non Current tax assets</t>
  </si>
  <si>
    <t>Other Non current assets</t>
  </si>
  <si>
    <t>Total Non-current assets</t>
  </si>
  <si>
    <t>Current assets</t>
  </si>
  <si>
    <t>Inventories</t>
  </si>
  <si>
    <t>Contract assets</t>
  </si>
  <si>
    <t>- Cash and Cash Equivalents</t>
  </si>
  <si>
    <t>- Bank Balances</t>
  </si>
  <si>
    <t>Current tax assets</t>
  </si>
  <si>
    <t>Other current assets</t>
  </si>
  <si>
    <t>Total Current assets</t>
  </si>
  <si>
    <t>Total assets</t>
  </si>
  <si>
    <t>Equity and Liabilities</t>
  </si>
  <si>
    <t xml:space="preserve">Equity </t>
  </si>
  <si>
    <t>Equity Share Capital</t>
  </si>
  <si>
    <t>Other Equity</t>
  </si>
  <si>
    <t>Total Equity</t>
  </si>
  <si>
    <t>Liabilities</t>
  </si>
  <si>
    <t>Non-current liabilities</t>
  </si>
  <si>
    <t>Financial Liabilities</t>
  </si>
  <si>
    <t>- Borrowings</t>
  </si>
  <si>
    <t>- Lease Liabilities</t>
  </si>
  <si>
    <t>Government grants</t>
  </si>
  <si>
    <t>Employee defined benefit liabilities</t>
  </si>
  <si>
    <t>Deferred tax liabilites (net)</t>
  </si>
  <si>
    <t>Total Non-current liabilities</t>
  </si>
  <si>
    <t>Current Liabilities</t>
  </si>
  <si>
    <t>Contract Liabilities</t>
  </si>
  <si>
    <t>- Borrowing</t>
  </si>
  <si>
    <t>- Trade Payables</t>
  </si>
  <si>
    <t>- Other Financial liabilities</t>
  </si>
  <si>
    <t>Provisions</t>
  </si>
  <si>
    <t>Government Grants</t>
  </si>
  <si>
    <t>Employee defined benefit liabilies</t>
  </si>
  <si>
    <t>Other current liabilites</t>
  </si>
  <si>
    <t>Total Current Liabilities</t>
  </si>
  <si>
    <t>Total Equity and Liabilities</t>
  </si>
  <si>
    <t>Return on Capital Employed</t>
  </si>
  <si>
    <t>EBIT</t>
  </si>
  <si>
    <t>Capital Employed</t>
  </si>
  <si>
    <t>ROCE</t>
  </si>
  <si>
    <t>Return on Equity</t>
  </si>
  <si>
    <t>PAT</t>
  </si>
  <si>
    <t>Average Total Equity</t>
  </si>
  <si>
    <t>ROE</t>
  </si>
  <si>
    <t>ROA</t>
  </si>
  <si>
    <t>Return on Assets</t>
  </si>
  <si>
    <t>Average Total Assets</t>
  </si>
  <si>
    <t>Return on Invested Capital</t>
  </si>
  <si>
    <t>NOPAT</t>
  </si>
  <si>
    <t>Invested Capital</t>
  </si>
  <si>
    <t>ROIC</t>
  </si>
  <si>
    <t>Tax Rate</t>
  </si>
  <si>
    <t>Ratio Analysis</t>
  </si>
  <si>
    <t>Index</t>
  </si>
  <si>
    <t>Financial Statement</t>
  </si>
  <si>
    <t xml:space="preserve">Income Statement and Balance sheet with Ratios </t>
  </si>
  <si>
    <t>DCF Model</t>
  </si>
  <si>
    <t>CashFlow Statement to calculate FCF, Reverse DCF</t>
  </si>
  <si>
    <t>Scenario's</t>
  </si>
  <si>
    <t>Bear, Hold, Bull Scenorio</t>
  </si>
  <si>
    <t>Cashflow Statement</t>
  </si>
  <si>
    <t>Adjustments to reconcile profit to cash flows</t>
  </si>
  <si>
    <t>Operating profit before WC adjustments</t>
  </si>
  <si>
    <t>Adjustment for WC</t>
  </si>
  <si>
    <t>Cash From Operations</t>
  </si>
  <si>
    <t>Tax Paid</t>
  </si>
  <si>
    <t>Net Cash from Operating activities (A)</t>
  </si>
  <si>
    <t>Cashflow From Operative Activities</t>
  </si>
  <si>
    <t>Cash From Investing activities</t>
  </si>
  <si>
    <t>CAPEX in PPE</t>
  </si>
  <si>
    <t>Payment towards purchase of ROU</t>
  </si>
  <si>
    <t>Proceeds from various different activities (Including Interest received)</t>
  </si>
  <si>
    <t>Investment in various different activites (Including Interest Paid)</t>
  </si>
  <si>
    <t>Net Cash from investing activities (B)</t>
  </si>
  <si>
    <t>Cash Flow From Financing activities</t>
  </si>
  <si>
    <t>Payment for Buy Back of Shares</t>
  </si>
  <si>
    <t xml:space="preserve">Other deployment of Cash </t>
  </si>
  <si>
    <t>Net Cash Used / generated from Cash flow from financing activities©</t>
  </si>
  <si>
    <t>Net Increase / decrease in cash</t>
  </si>
  <si>
    <t>Opening Cash</t>
  </si>
  <si>
    <t>Closing Cash</t>
  </si>
  <si>
    <t>Simple Free Cash Flows (Cashflow from Operating activites - CAPEX)</t>
  </si>
  <si>
    <t>Calculation of Free Cash Flow</t>
  </si>
  <si>
    <t>Assumptions</t>
  </si>
  <si>
    <t>Depreciation</t>
  </si>
  <si>
    <t>Capex</t>
  </si>
  <si>
    <t>Non-cash Working Capital (inc) / dec</t>
  </si>
  <si>
    <t>FCF</t>
  </si>
  <si>
    <t>Tax</t>
  </si>
  <si>
    <t>D&amp;A</t>
  </si>
  <si>
    <t>Non-cash WC</t>
  </si>
  <si>
    <t>Free Cash Flow</t>
  </si>
  <si>
    <t>Average of 3 years FCF</t>
  </si>
  <si>
    <t>Weighted Average Cost of Capital</t>
  </si>
  <si>
    <t xml:space="preserve">Cost of Equity </t>
  </si>
  <si>
    <t>CAPM</t>
  </si>
  <si>
    <t>Cost of Debt</t>
  </si>
  <si>
    <t>Interest Payments</t>
  </si>
  <si>
    <t xml:space="preserve">---&gt; </t>
  </si>
  <si>
    <t>Relative Valuation</t>
  </si>
  <si>
    <t>Comparision with Peers</t>
  </si>
  <si>
    <t>E(Ri)=Rf + Bi(E(Rm) - Rf)</t>
  </si>
  <si>
    <t>WACC Calculations</t>
  </si>
  <si>
    <t>Equity Value</t>
  </si>
  <si>
    <t>Debt Value</t>
  </si>
  <si>
    <t>10 years Tbill rate</t>
  </si>
  <si>
    <t>Beta</t>
  </si>
  <si>
    <t>Market Return</t>
  </si>
  <si>
    <t>Cost of Equity</t>
  </si>
  <si>
    <t>E / D+E</t>
  </si>
  <si>
    <t>D / D+E</t>
  </si>
  <si>
    <t>WACC</t>
  </si>
  <si>
    <t>Terminal Rate</t>
  </si>
  <si>
    <t>(Perpetuity Growth Method)</t>
  </si>
  <si>
    <t>Growth Rate</t>
  </si>
  <si>
    <t>2025-26</t>
  </si>
  <si>
    <t>2026-27</t>
  </si>
  <si>
    <t>2027-28</t>
  </si>
  <si>
    <t>2028-29</t>
  </si>
  <si>
    <t>2029-30</t>
  </si>
  <si>
    <t>Discounting Factor</t>
  </si>
  <si>
    <t>Sr. No</t>
  </si>
  <si>
    <t>Terminal Value</t>
  </si>
  <si>
    <t>Total Cashflow and Terminal Value</t>
  </si>
  <si>
    <t>Intrinsic Value</t>
  </si>
  <si>
    <t>Growth Cashflow</t>
  </si>
  <si>
    <t>Discounted Cashflow</t>
  </si>
  <si>
    <t>Current Share Price</t>
  </si>
  <si>
    <t>MOS</t>
  </si>
  <si>
    <t>2030-31</t>
  </si>
  <si>
    <t>2031-32</t>
  </si>
  <si>
    <t>2032-33</t>
  </si>
  <si>
    <t>2033-34</t>
  </si>
  <si>
    <t>2034-35</t>
  </si>
  <si>
    <t>Year</t>
  </si>
  <si>
    <t>TV(pv)</t>
  </si>
  <si>
    <t>(1.092)^10</t>
  </si>
  <si>
    <t>Discount Free Cash Flow to Firm (FCFF) using WACC.</t>
  </si>
  <si>
    <t>Growth in terms of Earning</t>
  </si>
  <si>
    <t>Net Profit</t>
  </si>
  <si>
    <t>Particulars</t>
  </si>
  <si>
    <t>Growth in Earning</t>
  </si>
  <si>
    <t>Sales</t>
  </si>
  <si>
    <t>Growth in Sales</t>
  </si>
  <si>
    <t>Growth and Assumptions</t>
  </si>
  <si>
    <t>Growth Assumption and input detail breakdown</t>
  </si>
  <si>
    <t>Interarch Building Solutions Ltd and Pennar Industries Analysis based on financials and Ratios with valuation</t>
  </si>
  <si>
    <t>Interarch building Solutions</t>
  </si>
  <si>
    <t>Pennar Industries Ltd</t>
  </si>
  <si>
    <t>Sales (FY 2024-25)</t>
  </si>
  <si>
    <t>In Crores</t>
  </si>
  <si>
    <t>Profit after Tax</t>
  </si>
  <si>
    <t>Net proft Margin</t>
  </si>
  <si>
    <t xml:space="preserve">ROCE </t>
  </si>
  <si>
    <t>Cash Conversion Cycle(In Days)</t>
  </si>
  <si>
    <t>71 Days</t>
  </si>
  <si>
    <t>77 Days</t>
  </si>
  <si>
    <t>Free Cashflow (Average)</t>
  </si>
  <si>
    <t>Pennar Industries</t>
  </si>
  <si>
    <t>Cash from operating activities</t>
  </si>
  <si>
    <t>Average</t>
  </si>
  <si>
    <t>DCF Intrinsic Value</t>
  </si>
  <si>
    <t>Cashflow</t>
  </si>
  <si>
    <t>Discount Rate</t>
  </si>
  <si>
    <t>Earning Growth Rate</t>
  </si>
  <si>
    <t>Terminal Growth Rate</t>
  </si>
  <si>
    <t>Years</t>
  </si>
  <si>
    <t>Earning</t>
  </si>
  <si>
    <t>G</t>
  </si>
  <si>
    <t>PV</t>
  </si>
  <si>
    <t>Terminal Year Cash Flow</t>
  </si>
  <si>
    <t xml:space="preserve">Present Value </t>
  </si>
  <si>
    <t>Total Value</t>
  </si>
  <si>
    <t>Current Value</t>
  </si>
  <si>
    <t>PEG Ratio</t>
  </si>
  <si>
    <t>141000 TPA</t>
  </si>
  <si>
    <t>90000 TPA</t>
  </si>
  <si>
    <t>Capacity in PEB industry</t>
  </si>
  <si>
    <t>PE Ratio (Industry PE - 25.2)</t>
  </si>
  <si>
    <t>Book Value</t>
  </si>
  <si>
    <t>P/B ratio</t>
  </si>
  <si>
    <t xml:space="preserve">Interarch Building Solutions </t>
  </si>
  <si>
    <t>According to Management guidance and Management interviews and Past Trends the growth rate has been projected</t>
  </si>
  <si>
    <t>For FY 25-26</t>
  </si>
  <si>
    <t xml:space="preserve">Sales Growth </t>
  </si>
  <si>
    <t xml:space="preserve">EBITDA Growth </t>
  </si>
  <si>
    <t>10% for first 5 years, 07% for next 3 years and 5% for remaining 2 years</t>
  </si>
  <si>
    <t>FY 2026-27</t>
  </si>
  <si>
    <t>FCF growth rate (assumed)</t>
  </si>
  <si>
    <t>FY 2027-28</t>
  </si>
  <si>
    <t>FY 2028-29</t>
  </si>
  <si>
    <t>FY 2029-30</t>
  </si>
  <si>
    <t>FY 2030-31</t>
  </si>
  <si>
    <t>FY 2031-32</t>
  </si>
  <si>
    <t>FY 2032-33</t>
  </si>
  <si>
    <t>FY 2033-34</t>
  </si>
  <si>
    <t>FY 2034-35</t>
  </si>
  <si>
    <t>Best Scenario</t>
  </si>
  <si>
    <t>Worst Scenario</t>
  </si>
  <si>
    <t>Bull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</si>
</sst>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.5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1"/>
      <name val="Arial"/>
      <family val="2"/>
    </font>
    <font>
      <u val="singleAccounting"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06">
    <xf numFmtId="0" fontId="0" fillId="0" borderId="0" xfId="0"/>
    <xf numFmtId="0" fontId="2" fillId="0" borderId="0" xfId="0" applyFont="1"/>
    <xf numFmtId="43" fontId="3" fillId="0" borderId="1" xfId="1" applyFont="1" applyBorder="1"/>
    <xf numFmtId="43" fontId="2" fillId="0" borderId="0" xfId="1" applyFont="1"/>
    <xf numFmtId="43" fontId="5" fillId="0" borderId="1" xfId="1" applyFont="1" applyBorder="1"/>
    <xf numFmtId="43" fontId="2" fillId="0" borderId="1" xfId="1" applyFont="1" applyBorder="1"/>
    <xf numFmtId="43" fontId="2" fillId="0" borderId="1" xfId="1" quotePrefix="1" applyFont="1" applyBorder="1"/>
    <xf numFmtId="43" fontId="2" fillId="0" borderId="1" xfId="1" applyFont="1" applyBorder="1" applyAlignment="1">
      <alignment wrapText="1"/>
    </xf>
    <xf numFmtId="10" fontId="2" fillId="0" borderId="0" xfId="1" applyNumberFormat="1" applyFont="1"/>
    <xf numFmtId="10" fontId="2" fillId="0" borderId="1" xfId="1" applyNumberFormat="1" applyFont="1" applyBorder="1"/>
    <xf numFmtId="10" fontId="5" fillId="0" borderId="1" xfId="1" applyNumberFormat="1" applyFont="1" applyBorder="1"/>
    <xf numFmtId="43" fontId="6" fillId="0" borderId="1" xfId="1" applyFont="1" applyBorder="1"/>
    <xf numFmtId="43" fontId="5" fillId="0" borderId="1" xfId="1" applyFont="1" applyBorder="1" applyAlignment="1">
      <alignment wrapText="1"/>
    </xf>
    <xf numFmtId="43" fontId="5" fillId="0" borderId="1" xfId="1" applyFont="1" applyBorder="1" applyAlignment="1">
      <alignment horizontal="center" vertical="center"/>
    </xf>
    <xf numFmtId="43" fontId="2" fillId="0" borderId="11" xfId="1" applyFont="1" applyBorder="1"/>
    <xf numFmtId="43" fontId="2" fillId="0" borderId="12" xfId="1" applyFont="1" applyBorder="1"/>
    <xf numFmtId="43" fontId="2" fillId="0" borderId="0" xfId="1" quotePrefix="1" applyFont="1" applyAlignment="1">
      <alignment horizontal="center" vertical="center"/>
    </xf>
    <xf numFmtId="10" fontId="2" fillId="0" borderId="12" xfId="1" applyNumberFormat="1" applyFont="1" applyBorder="1"/>
    <xf numFmtId="10" fontId="2" fillId="0" borderId="0" xfId="1" applyNumberFormat="1" applyFont="1" applyAlignment="1">
      <alignment horizontal="left"/>
    </xf>
    <xf numFmtId="0" fontId="5" fillId="0" borderId="8" xfId="0" applyFont="1" applyBorder="1"/>
    <xf numFmtId="43" fontId="5" fillId="0" borderId="0" xfId="1" applyFont="1" applyBorder="1"/>
    <xf numFmtId="164" fontId="2" fillId="0" borderId="1" xfId="1" applyNumberFormat="1" applyFont="1" applyBorder="1"/>
    <xf numFmtId="43" fontId="10" fillId="0" borderId="0" xfId="1" applyFont="1"/>
    <xf numFmtId="10" fontId="11" fillId="0" borderId="9" xfId="2" applyNumberFormat="1" applyBorder="1"/>
    <xf numFmtId="10" fontId="2" fillId="0" borderId="0" xfId="1" applyNumberFormat="1" applyFont="1" applyBorder="1"/>
    <xf numFmtId="0" fontId="12" fillId="0" borderId="1" xfId="0" applyFont="1" applyBorder="1"/>
    <xf numFmtId="10" fontId="12" fillId="0" borderId="1" xfId="0" applyNumberFormat="1" applyFont="1" applyBorder="1"/>
    <xf numFmtId="43" fontId="12" fillId="0" borderId="1" xfId="1" applyFont="1" applyBorder="1"/>
    <xf numFmtId="0" fontId="0" fillId="0" borderId="1" xfId="0" applyBorder="1"/>
    <xf numFmtId="43" fontId="0" fillId="0" borderId="1" xfId="1" applyFont="1" applyBorder="1"/>
    <xf numFmtId="43" fontId="0" fillId="0" borderId="0" xfId="1" applyFont="1"/>
    <xf numFmtId="43" fontId="0" fillId="0" borderId="1" xfId="1" applyFont="1" applyBorder="1" applyAlignment="1">
      <alignment wrapText="1"/>
    </xf>
    <xf numFmtId="10" fontId="0" fillId="0" borderId="1" xfId="1" applyNumberFormat="1" applyFont="1" applyBorder="1"/>
    <xf numFmtId="43" fontId="0" fillId="0" borderId="0" xfId="1" applyFont="1" applyBorder="1"/>
    <xf numFmtId="10" fontId="0" fillId="0" borderId="0" xfId="1" applyNumberFormat="1" applyFont="1" applyBorder="1"/>
    <xf numFmtId="43" fontId="0" fillId="0" borderId="8" xfId="1" applyFont="1" applyBorder="1"/>
    <xf numFmtId="10" fontId="0" fillId="0" borderId="8" xfId="1" applyNumberFormat="1" applyFont="1" applyBorder="1"/>
    <xf numFmtId="43" fontId="0" fillId="0" borderId="6" xfId="1" applyFont="1" applyBorder="1"/>
    <xf numFmtId="43" fontId="0" fillId="0" borderId="1" xfId="1" applyFont="1" applyBorder="1" applyAlignment="1">
      <alignment horizontal="right"/>
    </xf>
    <xf numFmtId="10" fontId="12" fillId="0" borderId="1" xfId="1" applyNumberFormat="1" applyFont="1" applyBorder="1"/>
    <xf numFmtId="0" fontId="12" fillId="0" borderId="0" xfId="0" applyFont="1"/>
    <xf numFmtId="10" fontId="0" fillId="0" borderId="1" xfId="0" applyNumberFormat="1" applyBorder="1"/>
    <xf numFmtId="0" fontId="0" fillId="0" borderId="1" xfId="0" applyBorder="1" applyAlignment="1">
      <alignment wrapText="1"/>
    </xf>
    <xf numFmtId="43" fontId="11" fillId="0" borderId="1" xfId="2" applyNumberFormat="1" applyBorder="1"/>
    <xf numFmtId="43" fontId="2" fillId="0" borderId="0" xfId="0" applyNumberFormat="1" applyFont="1"/>
    <xf numFmtId="10" fontId="2" fillId="0" borderId="0" xfId="0" applyNumberFormat="1" applyFont="1"/>
    <xf numFmtId="0" fontId="11" fillId="0" borderId="0" xfId="2"/>
    <xf numFmtId="43" fontId="10" fillId="0" borderId="1" xfId="1" applyFont="1" applyBorder="1"/>
    <xf numFmtId="0" fontId="11" fillId="0" borderId="1" xfId="2" applyBorder="1" applyAlignment="1">
      <alignment wrapText="1"/>
    </xf>
    <xf numFmtId="0" fontId="2" fillId="0" borderId="1" xfId="0" applyFont="1" applyBorder="1" applyAlignment="1">
      <alignment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3" fontId="3" fillId="0" borderId="1" xfId="1" applyFont="1" applyBorder="1" applyAlignment="1">
      <alignment wrapText="1"/>
    </xf>
    <xf numFmtId="43" fontId="6" fillId="0" borderId="1" xfId="1" applyFont="1" applyBorder="1"/>
    <xf numFmtId="43" fontId="3" fillId="0" borderId="1" xfId="1" applyFont="1" applyBorder="1"/>
    <xf numFmtId="43" fontId="3" fillId="0" borderId="8" xfId="1" applyFont="1" applyBorder="1"/>
    <xf numFmtId="43" fontId="3" fillId="0" borderId="9" xfId="1" applyFont="1" applyBorder="1"/>
    <xf numFmtId="0" fontId="11" fillId="0" borderId="1" xfId="2" applyBorder="1" applyAlignment="1">
      <alignment horizontal="left" vertical="center" wrapText="1"/>
    </xf>
    <xf numFmtId="0" fontId="5" fillId="0" borderId="1" xfId="0" applyFont="1" applyBorder="1" applyAlignment="1">
      <alignment horizontal="center"/>
    </xf>
    <xf numFmtId="0" fontId="11" fillId="0" borderId="1" xfId="2" applyBorder="1" applyAlignment="1">
      <alignment horizontal="left" vertical="center"/>
    </xf>
    <xf numFmtId="0" fontId="2" fillId="0" borderId="1" xfId="0" applyFont="1" applyBorder="1"/>
    <xf numFmtId="0" fontId="11" fillId="0" borderId="8" xfId="2" applyBorder="1" applyAlignment="1">
      <alignment horizontal="left" vertical="center"/>
    </xf>
    <xf numFmtId="0" fontId="11" fillId="0" borderId="9" xfId="2" applyBorder="1" applyAlignment="1">
      <alignment horizontal="left" vertical="center"/>
    </xf>
    <xf numFmtId="0" fontId="2" fillId="0" borderId="8" xfId="0" applyFont="1" applyBorder="1"/>
    <xf numFmtId="0" fontId="2" fillId="0" borderId="10" xfId="0" applyFont="1" applyBorder="1"/>
    <xf numFmtId="0" fontId="2" fillId="0" borderId="9" xfId="0" applyFont="1" applyBorder="1"/>
    <xf numFmtId="43" fontId="2" fillId="0" borderId="0" xfId="1" applyFont="1"/>
    <xf numFmtId="43" fontId="5" fillId="0" borderId="8" xfId="1" applyFont="1" applyBorder="1" applyAlignment="1">
      <alignment horizontal="center"/>
    </xf>
    <xf numFmtId="43" fontId="5" fillId="0" borderId="10" xfId="1" applyFont="1" applyBorder="1" applyAlignment="1">
      <alignment horizontal="center"/>
    </xf>
    <xf numFmtId="43" fontId="5" fillId="0" borderId="9" xfId="1" applyFont="1" applyBorder="1" applyAlignment="1">
      <alignment horizontal="center"/>
    </xf>
    <xf numFmtId="43" fontId="2" fillId="0" borderId="8" xfId="1" applyFont="1" applyBorder="1"/>
    <xf numFmtId="43" fontId="2" fillId="0" borderId="10" xfId="1" applyFont="1" applyBorder="1"/>
    <xf numFmtId="43" fontId="2" fillId="0" borderId="9" xfId="1" applyFont="1" applyBorder="1"/>
    <xf numFmtId="43" fontId="9" fillId="0" borderId="11" xfId="1" applyFont="1" applyBorder="1" applyAlignment="1">
      <alignment horizontal="center" vertical="center"/>
    </xf>
    <xf numFmtId="43" fontId="9" fillId="0" borderId="12" xfId="1" applyFont="1" applyBorder="1" applyAlignment="1">
      <alignment horizontal="center" vertical="center"/>
    </xf>
    <xf numFmtId="43" fontId="5" fillId="0" borderId="8" xfId="1" applyFont="1" applyBorder="1"/>
    <xf numFmtId="43" fontId="5" fillId="0" borderId="10" xfId="1" applyFont="1" applyBorder="1"/>
    <xf numFmtId="43" fontId="5" fillId="0" borderId="9" xfId="1" applyFont="1" applyBorder="1"/>
    <xf numFmtId="43" fontId="2" fillId="0" borderId="8" xfId="1" applyFont="1" applyBorder="1" applyAlignment="1">
      <alignment wrapText="1"/>
    </xf>
    <xf numFmtId="43" fontId="2" fillId="0" borderId="9" xfId="1" applyFont="1" applyBorder="1" applyAlignment="1">
      <alignment wrapText="1"/>
    </xf>
    <xf numFmtId="43" fontId="2" fillId="0" borderId="2" xfId="1" applyFont="1" applyBorder="1" applyAlignment="1">
      <alignment wrapText="1"/>
    </xf>
    <xf numFmtId="43" fontId="2" fillId="0" borderId="3" xfId="1" applyFont="1" applyBorder="1" applyAlignment="1">
      <alignment wrapText="1"/>
    </xf>
    <xf numFmtId="43" fontId="2" fillId="0" borderId="4" xfId="1" applyFont="1" applyBorder="1" applyAlignment="1">
      <alignment wrapText="1"/>
    </xf>
    <xf numFmtId="43" fontId="2" fillId="0" borderId="5" xfId="1" applyFont="1" applyBorder="1" applyAlignment="1">
      <alignment wrapText="1"/>
    </xf>
    <xf numFmtId="43" fontId="2" fillId="0" borderId="6" xfId="1" applyFont="1" applyBorder="1" applyAlignment="1">
      <alignment wrapText="1"/>
    </xf>
    <xf numFmtId="43" fontId="2" fillId="0" borderId="7" xfId="1" applyFont="1" applyBorder="1" applyAlignment="1">
      <alignment wrapText="1"/>
    </xf>
    <xf numFmtId="43" fontId="0" fillId="0" borderId="1" xfId="1" applyFont="1" applyBorder="1"/>
    <xf numFmtId="43" fontId="0" fillId="0" borderId="8" xfId="1" applyFont="1" applyBorder="1"/>
    <xf numFmtId="43" fontId="0" fillId="0" borderId="9" xfId="1" applyFont="1" applyBorder="1"/>
    <xf numFmtId="43" fontId="0" fillId="0" borderId="0" xfId="1" applyFont="1"/>
    <xf numFmtId="43" fontId="0" fillId="0" borderId="1" xfId="1" applyFont="1" applyBorder="1" applyAlignment="1">
      <alignment wrapText="1"/>
    </xf>
    <xf numFmtId="43" fontId="12" fillId="0" borderId="2" xfId="1" applyFont="1" applyBorder="1" applyAlignment="1">
      <alignment wrapText="1"/>
    </xf>
    <xf numFmtId="43" fontId="12" fillId="0" borderId="3" xfId="1" applyFont="1" applyBorder="1" applyAlignment="1">
      <alignment wrapText="1"/>
    </xf>
    <xf numFmtId="43" fontId="12" fillId="0" borderId="4" xfId="1" applyFont="1" applyBorder="1" applyAlignment="1">
      <alignment wrapText="1"/>
    </xf>
    <xf numFmtId="43" fontId="12" fillId="0" borderId="5" xfId="1" applyFont="1" applyBorder="1" applyAlignment="1">
      <alignment wrapText="1"/>
    </xf>
    <xf numFmtId="43" fontId="12" fillId="0" borderId="6" xfId="1" applyFont="1" applyBorder="1" applyAlignment="1">
      <alignment wrapText="1"/>
    </xf>
    <xf numFmtId="43" fontId="12" fillId="0" borderId="7" xfId="1" applyFont="1" applyBorder="1" applyAlignment="1">
      <alignment wrapText="1"/>
    </xf>
    <xf numFmtId="43" fontId="2" fillId="0" borderId="11" xfId="1" applyFont="1" applyBorder="1"/>
    <xf numFmtId="43" fontId="2" fillId="0" borderId="12" xfId="1" applyFont="1" applyBorder="1"/>
    <xf numFmtId="0" fontId="12" fillId="0" borderId="8" xfId="0" applyFont="1" applyBorder="1"/>
    <xf numFmtId="0" fontId="12" fillId="0" borderId="10" xfId="0" applyFont="1" applyBorder="1"/>
    <xf numFmtId="0" fontId="12" fillId="0" borderId="9" xfId="0" applyFont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'Financial Statements'!$C$69:$E$69</c:f>
              <c:numCache>
                <c:formatCode>0.00%</c:formatCode>
                <c:ptCount val="3"/>
                <c:pt idx="0">
                  <c:v>0.18815405910134916</c:v>
                </c:pt>
                <c:pt idx="1">
                  <c:v>0.25774498897963066</c:v>
                </c:pt>
                <c:pt idx="2">
                  <c:v>0.26749880277817861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3-4242-932F-B53D0D0281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794876895"/>
        <c:axId val="1794877375"/>
      </c:barChart>
      <c:catAx>
        <c:axId val="17948768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877375"/>
        <c:crosses val="autoZero"/>
        <c:auto val="1"/>
        <c:lblAlgn val="ctr"/>
        <c:lblOffset val="100"/>
        <c:noMultiLvlLbl val="0"/>
      </c:catAx>
      <c:valAx>
        <c:axId val="179487737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87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'Financial Statements'!$C$74:$E$74</c:f>
              <c:numCache>
                <c:formatCode>0.00%</c:formatCode>
                <c:ptCount val="3"/>
                <c:pt idx="0">
                  <c:v>0.14350057284927303</c:v>
                </c:pt>
                <c:pt idx="1">
                  <c:v>0.19401085769883158</c:v>
                </c:pt>
                <c:pt idx="2">
                  <c:v>0.20402375281444854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1B-45C4-B056-D1F83D8536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240305359"/>
        <c:axId val="240289039"/>
      </c:barChart>
      <c:catAx>
        <c:axId val="2403053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89039"/>
        <c:crosses val="autoZero"/>
        <c:auto val="1"/>
        <c:lblAlgn val="ctr"/>
        <c:lblOffset val="100"/>
        <c:noMultiLvlLbl val="0"/>
      </c:catAx>
      <c:valAx>
        <c:axId val="2402890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305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'Financial Statements'!$C$79:$E$79</c:f>
              <c:numCache>
                <c:formatCode>0.00%</c:formatCode>
                <c:ptCount val="3"/>
                <c:pt idx="0">
                  <c:v>9.6793116653061007E-2</c:v>
                </c:pt>
                <c:pt idx="1">
                  <c:v>0.11425307887425303</c:v>
                </c:pt>
                <c:pt idx="2">
                  <c:v>0.12068044224094013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41-4898-98B9-BF8BE9BE83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240312559"/>
        <c:axId val="240311119"/>
      </c:barChart>
      <c:catAx>
        <c:axId val="2403125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311119"/>
        <c:crosses val="autoZero"/>
        <c:auto val="1"/>
        <c:lblAlgn val="ctr"/>
        <c:lblOffset val="100"/>
        <c:noMultiLvlLbl val="0"/>
      </c:catAx>
      <c:valAx>
        <c:axId val="24031111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312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'Financial Statements'!$C$84:$E$84</c:f>
              <c:numCache>
                <c:formatCode>0.00%</c:formatCode>
                <c:ptCount val="3"/>
                <c:pt idx="0">
                  <c:v>0.15820081968157812</c:v>
                </c:pt>
                <c:pt idx="1">
                  <c:v>0.19402159667192664</c:v>
                </c:pt>
                <c:pt idx="2">
                  <c:v>0.20775077290914296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6A-4894-89C2-DFEB8B59A5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240296239"/>
        <c:axId val="240306319"/>
      </c:barChart>
      <c:catAx>
        <c:axId val="24029623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306319"/>
        <c:crosses val="autoZero"/>
        <c:auto val="1"/>
        <c:lblAlgn val="ctr"/>
        <c:lblOffset val="100"/>
        <c:noMultiLvlLbl val="0"/>
      </c:catAx>
      <c:valAx>
        <c:axId val="24030631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96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</xdr:colOff>
      <xdr:row>65</xdr:row>
      <xdr:rowOff>45720</xdr:rowOff>
    </xdr:from>
    <xdr:to>
      <xdr:col>8</xdr:col>
      <xdr:colOff>762000</xdr:colOff>
      <xdr:row>79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272991-46EA-84F5-D1FC-D32598F3E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</xdr:colOff>
      <xdr:row>65</xdr:row>
      <xdr:rowOff>45720</xdr:rowOff>
    </xdr:from>
    <xdr:to>
      <xdr:col>33</xdr:col>
      <xdr:colOff>213360</xdr:colOff>
      <xdr:row>79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55FDBA-F69C-BFFE-72E4-37C0ECE1A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3810</xdr:colOff>
      <xdr:row>79</xdr:row>
      <xdr:rowOff>106680</xdr:rowOff>
    </xdr:from>
    <xdr:to>
      <xdr:col>8</xdr:col>
      <xdr:colOff>762000</xdr:colOff>
      <xdr:row>94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084AEC-E4B6-6740-3B2A-62F7FA52B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765810</xdr:colOff>
      <xdr:row>79</xdr:row>
      <xdr:rowOff>114300</xdr:rowOff>
    </xdr:from>
    <xdr:to>
      <xdr:col>33</xdr:col>
      <xdr:colOff>236220</xdr:colOff>
      <xdr:row>94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850693-423C-2A41-1923-11C9DB9E6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31</xdr:row>
      <xdr:rowOff>7620</xdr:rowOff>
    </xdr:from>
    <xdr:to>
      <xdr:col>8</xdr:col>
      <xdr:colOff>1219199</xdr:colOff>
      <xdr:row>34</xdr:row>
      <xdr:rowOff>13021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8522E2-DF7F-2DFA-515A-4CE3468D8F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30340" y="6347460"/>
          <a:ext cx="3345179" cy="538801"/>
        </a:xfrm>
        <a:prstGeom prst="rect">
          <a:avLst/>
        </a:prstGeom>
      </xdr:spPr>
    </xdr:pic>
    <xdr:clientData/>
  </xdr:twoCellAnchor>
  <xdr:twoCellAnchor editAs="oneCell">
    <xdr:from>
      <xdr:col>9</xdr:col>
      <xdr:colOff>670560</xdr:colOff>
      <xdr:row>31</xdr:row>
      <xdr:rowOff>0</xdr:rowOff>
    </xdr:from>
    <xdr:to>
      <xdr:col>13</xdr:col>
      <xdr:colOff>145057</xdr:colOff>
      <xdr:row>36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9116BA-512B-4B99-85A4-498DB00C89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8510" b="18624"/>
        <a:stretch>
          <a:fillRect/>
        </a:stretch>
      </xdr:blipFill>
      <xdr:spPr>
        <a:xfrm>
          <a:off x="10538460" y="6339840"/>
          <a:ext cx="3200677" cy="10439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12390</xdr:colOff>
      <xdr:row>22</xdr:row>
      <xdr:rowOff>13375</xdr:rowOff>
    </xdr:from>
    <xdr:to>
      <xdr:col>3</xdr:col>
      <xdr:colOff>883816</xdr:colOff>
      <xdr:row>34</xdr:row>
      <xdr:rowOff>156901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9C7A26-0169-6379-AC25-50551F0815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512" y="4281814"/>
          <a:ext cx="4448097" cy="2373770"/>
        </a:xfrm>
        <a:prstGeom prst="rect">
          <a:avLst/>
        </a:prstGeom>
      </xdr:spPr>
    </xdr:pic>
    <xdr:clientData/>
  </xdr:twoCellAnchor>
  <xdr:twoCellAnchor editAs="oneCell">
    <xdr:from>
      <xdr:col>1</xdr:col>
      <xdr:colOff>30976</xdr:colOff>
      <xdr:row>37</xdr:row>
      <xdr:rowOff>6195</xdr:rowOff>
    </xdr:from>
    <xdr:to>
      <xdr:col>3</xdr:col>
      <xdr:colOff>858035</xdr:colOff>
      <xdr:row>49</xdr:row>
      <xdr:rowOff>101637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578B8B-C10B-9FC8-65AA-BAD576A8A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8098" y="7062439"/>
          <a:ext cx="4403730" cy="232568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ay Sejpal" id="{01D6B121-B134-4798-8EFD-1B642F30687F}" userId="e30c0a576d4a8853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8" dT="2025-07-06T19:35:22.54" personId="{01D6B121-B134-4798-8EFD-1B642F30687F}" id="{B4EC9FF8-317A-4C40-9E35-C224894F2765}">
    <text xml:space="preserve">Pennar Industries had 48% of revenue from PEB
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7"/>
  <sheetViews>
    <sheetView tabSelected="1" workbookViewId="0">
      <selection activeCell="D26" sqref="D26"/>
    </sheetView>
  </sheetViews>
  <sheetFormatPr defaultRowHeight="13.8" x14ac:dyDescent="0.25"/>
  <cols>
    <col min="1" max="2" width="8.88671875" style="1"/>
    <col min="3" max="3" width="10" style="1" customWidth="1"/>
    <col min="4" max="4" width="11.21875" style="1" bestFit="1" customWidth="1"/>
    <col min="5" max="16384" width="8.88671875" style="1"/>
  </cols>
  <sheetData>
    <row r="2" spans="2:7" x14ac:dyDescent="0.25">
      <c r="B2" s="50" t="s">
        <v>1</v>
      </c>
      <c r="C2" s="51"/>
      <c r="D2" s="51"/>
      <c r="E2" s="52"/>
    </row>
    <row r="3" spans="2:7" x14ac:dyDescent="0.25">
      <c r="B3" s="53"/>
      <c r="C3" s="54"/>
      <c r="D3" s="54"/>
      <c r="E3" s="55"/>
    </row>
    <row r="5" spans="2:7" ht="15" x14ac:dyDescent="0.25">
      <c r="B5" s="59" t="s">
        <v>2</v>
      </c>
      <c r="C5" s="60"/>
      <c r="D5" s="2">
        <v>2326</v>
      </c>
    </row>
    <row r="6" spans="2:7" ht="28.8" customHeight="1" x14ac:dyDescent="0.3">
      <c r="B6" s="56" t="s">
        <v>3</v>
      </c>
      <c r="C6" s="56"/>
      <c r="D6" s="2">
        <v>1.66</v>
      </c>
      <c r="F6" s="19" t="s">
        <v>187</v>
      </c>
      <c r="G6" s="23">
        <f>+'DCF Model'!I25</f>
        <v>-0.81009696788888963</v>
      </c>
    </row>
    <row r="7" spans="2:7" ht="15.6" x14ac:dyDescent="0.3">
      <c r="B7" s="57" t="s">
        <v>4</v>
      </c>
      <c r="C7" s="57"/>
      <c r="D7" s="11">
        <f>+D5*D6</f>
        <v>3861.16</v>
      </c>
    </row>
    <row r="8" spans="2:7" ht="15" x14ac:dyDescent="0.25">
      <c r="B8" s="58" t="s">
        <v>5</v>
      </c>
      <c r="C8" s="58"/>
      <c r="D8" s="2">
        <v>199</v>
      </c>
    </row>
    <row r="9" spans="2:7" ht="15" x14ac:dyDescent="0.25">
      <c r="B9" s="58" t="s">
        <v>6</v>
      </c>
      <c r="C9" s="58"/>
      <c r="D9" s="2">
        <f>0.28+16.92+2.68</f>
        <v>19.880000000000003</v>
      </c>
    </row>
    <row r="10" spans="2:7" ht="15.6" x14ac:dyDescent="0.3">
      <c r="B10" s="57" t="s">
        <v>7</v>
      </c>
      <c r="C10" s="57"/>
      <c r="D10" s="11">
        <f>+D7-D8+D9</f>
        <v>3682.04</v>
      </c>
    </row>
    <row r="12" spans="2:7" x14ac:dyDescent="0.25">
      <c r="B12" s="62" t="s">
        <v>112</v>
      </c>
      <c r="C12" s="62"/>
      <c r="D12" s="62"/>
      <c r="E12" s="62"/>
      <c r="F12" s="62"/>
    </row>
    <row r="13" spans="2:7" ht="31.2" customHeight="1" x14ac:dyDescent="0.25">
      <c r="B13" s="61" t="s">
        <v>113</v>
      </c>
      <c r="C13" s="61"/>
      <c r="D13" s="49" t="s">
        <v>114</v>
      </c>
      <c r="E13" s="49"/>
      <c r="F13" s="49"/>
    </row>
    <row r="14" spans="2:7" ht="29.4" customHeight="1" x14ac:dyDescent="0.25">
      <c r="B14" s="63" t="s">
        <v>115</v>
      </c>
      <c r="C14" s="63"/>
      <c r="D14" s="49" t="s">
        <v>116</v>
      </c>
      <c r="E14" s="49"/>
      <c r="F14" s="49"/>
    </row>
    <row r="15" spans="2:7" ht="14.4" x14ac:dyDescent="0.25">
      <c r="B15" s="65" t="s">
        <v>158</v>
      </c>
      <c r="C15" s="66"/>
      <c r="D15" s="67" t="s">
        <v>159</v>
      </c>
      <c r="E15" s="68"/>
      <c r="F15" s="69"/>
    </row>
    <row r="16" spans="2:7" ht="14.4" x14ac:dyDescent="0.25">
      <c r="B16" s="63" t="s">
        <v>117</v>
      </c>
      <c r="C16" s="63"/>
      <c r="D16" s="64" t="s">
        <v>118</v>
      </c>
      <c r="E16" s="64"/>
      <c r="F16" s="64"/>
    </row>
    <row r="17" spans="2:6" ht="27" customHeight="1" x14ac:dyDescent="0.3">
      <c r="B17" s="48" t="s">
        <v>203</v>
      </c>
      <c r="C17" s="48"/>
      <c r="D17" s="49" t="s">
        <v>204</v>
      </c>
      <c r="E17" s="49"/>
      <c r="F17" s="49"/>
    </row>
  </sheetData>
  <mergeCells count="18">
    <mergeCell ref="B15:C15"/>
    <mergeCell ref="D15:F15"/>
    <mergeCell ref="B17:C17"/>
    <mergeCell ref="D17:F17"/>
    <mergeCell ref="B2:E3"/>
    <mergeCell ref="B6:C6"/>
    <mergeCell ref="B7:C7"/>
    <mergeCell ref="B8:C8"/>
    <mergeCell ref="B9:C9"/>
    <mergeCell ref="B10:C10"/>
    <mergeCell ref="B5:C5"/>
    <mergeCell ref="B13:C13"/>
    <mergeCell ref="B12:F12"/>
    <mergeCell ref="D13:F13"/>
    <mergeCell ref="B14:C14"/>
    <mergeCell ref="D14:F14"/>
    <mergeCell ref="B16:C16"/>
    <mergeCell ref="D16:F16"/>
  </mergeCells>
  <hyperlinks>
    <hyperlink ref="B13:C13" location="'Financial Statements'!A1" display="Financial Statement" xr:uid="{9CF65333-E0AE-4B93-B1EA-E5CE94A735A9}"/>
    <hyperlink ref="B14:C14" location="'DCF Model'!A1" display="DCF Model" xr:uid="{9D5D7F6B-02A7-42EC-99EE-9B6460F61C73}"/>
    <hyperlink ref="B15:C15" location="'Relative valuation'!A1" display="Relative Valuation" xr:uid="{FDFADF72-1359-49BF-8B3F-C052BBAA29FD}"/>
    <hyperlink ref="B16:C16" location="Scenario!A1" display="Scenario's" xr:uid="{5774F654-56B0-40D1-AA27-A7822DB6FDBD}"/>
    <hyperlink ref="G6" location="'DCF Model'!I25" display="'DCF Model'!I25" xr:uid="{2C8D804F-67A7-4A28-BF9F-A5282D6472D3}"/>
    <hyperlink ref="B17:C17" location="'Growth and Assumptions'!A1" display="Growth and Assumptions" xr:uid="{5C9923C6-E799-47A5-B39D-27E225606DE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DE270-F897-4363-A756-8776BE1E588A}">
  <dimension ref="B2:AD85"/>
  <sheetViews>
    <sheetView workbookViewId="0">
      <pane xSplit="2" ySplit="5" topLeftCell="C64" activePane="bottomRight" state="frozen"/>
      <selection pane="topRight" activeCell="C1" sqref="C1"/>
      <selection pane="bottomLeft" activeCell="A6" sqref="A6"/>
      <selection pane="bottomRight" activeCell="C69" sqref="C69"/>
    </sheetView>
  </sheetViews>
  <sheetFormatPr defaultRowHeight="13.8" x14ac:dyDescent="0.25"/>
  <cols>
    <col min="1" max="1" width="8.88671875" style="3"/>
    <col min="2" max="2" width="30.109375" style="3" bestFit="1" customWidth="1"/>
    <col min="3" max="3" width="13.44140625" style="3" bestFit="1" customWidth="1"/>
    <col min="4" max="5" width="12.33203125" style="3" bestFit="1" customWidth="1"/>
    <col min="6" max="6" width="8.88671875" style="3"/>
    <col min="7" max="7" width="28.88671875" style="3" customWidth="1"/>
    <col min="8" max="8" width="12.33203125" style="3" bestFit="1" customWidth="1"/>
    <col min="9" max="10" width="11.21875" style="3" bestFit="1" customWidth="1"/>
    <col min="11" max="11" width="8.88671875" style="3"/>
    <col min="12" max="30" width="0" style="3" hidden="1" customWidth="1"/>
    <col min="31" max="16384" width="8.88671875" style="3"/>
  </cols>
  <sheetData>
    <row r="2" spans="2:30" x14ac:dyDescent="0.25">
      <c r="B2" s="4" t="s">
        <v>8</v>
      </c>
      <c r="C2" s="70"/>
      <c r="D2" s="70"/>
    </row>
    <row r="3" spans="2:30" x14ac:dyDescent="0.25">
      <c r="B3" s="4" t="s">
        <v>31</v>
      </c>
      <c r="G3" s="71" t="s">
        <v>32</v>
      </c>
      <c r="H3" s="72"/>
      <c r="I3" s="72"/>
      <c r="J3" s="73"/>
      <c r="L3" s="71" t="s">
        <v>32</v>
      </c>
      <c r="M3" s="72"/>
      <c r="N3" s="72"/>
      <c r="O3" s="73"/>
      <c r="Q3" s="71" t="s">
        <v>32</v>
      </c>
      <c r="R3" s="72"/>
      <c r="S3" s="72"/>
      <c r="T3" s="73"/>
      <c r="V3" s="71" t="s">
        <v>32</v>
      </c>
      <c r="W3" s="72"/>
      <c r="X3" s="72"/>
      <c r="Y3" s="73"/>
      <c r="AA3" s="71" t="s">
        <v>32</v>
      </c>
      <c r="AB3" s="72"/>
      <c r="AC3" s="72"/>
      <c r="AD3" s="73"/>
    </row>
    <row r="4" spans="2:30" x14ac:dyDescent="0.25">
      <c r="B4" s="4" t="s">
        <v>15</v>
      </c>
      <c r="G4" s="71" t="s">
        <v>37</v>
      </c>
      <c r="H4" s="72"/>
      <c r="I4" s="72"/>
      <c r="J4" s="73"/>
      <c r="L4" s="71" t="s">
        <v>38</v>
      </c>
      <c r="M4" s="72"/>
      <c r="N4" s="72"/>
      <c r="O4" s="73"/>
      <c r="Q4" s="71" t="s">
        <v>39</v>
      </c>
      <c r="R4" s="72"/>
      <c r="S4" s="72"/>
      <c r="T4" s="73"/>
      <c r="V4" s="71" t="s">
        <v>40</v>
      </c>
      <c r="W4" s="72"/>
      <c r="X4" s="72"/>
      <c r="Y4" s="73"/>
      <c r="AA4" s="71" t="s">
        <v>41</v>
      </c>
      <c r="AB4" s="72"/>
      <c r="AC4" s="72"/>
      <c r="AD4" s="73"/>
    </row>
    <row r="5" spans="2:30" x14ac:dyDescent="0.25">
      <c r="B5" s="4" t="s">
        <v>16</v>
      </c>
      <c r="C5" s="4" t="s">
        <v>12</v>
      </c>
      <c r="D5" s="4" t="s">
        <v>13</v>
      </c>
      <c r="E5" s="4" t="s">
        <v>14</v>
      </c>
      <c r="G5" s="4" t="s">
        <v>33</v>
      </c>
      <c r="H5" s="4" t="s">
        <v>34</v>
      </c>
      <c r="I5" s="4" t="s">
        <v>35</v>
      </c>
      <c r="J5" s="4" t="s">
        <v>36</v>
      </c>
      <c r="L5" s="4" t="s">
        <v>33</v>
      </c>
      <c r="M5" s="4" t="s">
        <v>34</v>
      </c>
      <c r="N5" s="4" t="s">
        <v>35</v>
      </c>
      <c r="O5" s="4" t="s">
        <v>36</v>
      </c>
      <c r="Q5" s="4" t="s">
        <v>33</v>
      </c>
      <c r="R5" s="4" t="s">
        <v>34</v>
      </c>
      <c r="S5" s="4" t="s">
        <v>35</v>
      </c>
      <c r="T5" s="4" t="s">
        <v>36</v>
      </c>
      <c r="V5" s="4" t="s">
        <v>33</v>
      </c>
      <c r="W5" s="4" t="s">
        <v>34</v>
      </c>
      <c r="X5" s="4" t="s">
        <v>35</v>
      </c>
      <c r="Y5" s="4" t="s">
        <v>36</v>
      </c>
      <c r="AA5" s="4" t="s">
        <v>33</v>
      </c>
      <c r="AB5" s="4" t="s">
        <v>34</v>
      </c>
      <c r="AC5" s="4" t="s">
        <v>35</v>
      </c>
      <c r="AD5" s="4" t="s">
        <v>36</v>
      </c>
    </row>
    <row r="6" spans="2:30" x14ac:dyDescent="0.25">
      <c r="B6" s="6" t="s">
        <v>9</v>
      </c>
      <c r="C6" s="5">
        <f>+SUM(G6:J6)</f>
        <v>145382.53999999998</v>
      </c>
      <c r="D6" s="5">
        <v>129330.16</v>
      </c>
      <c r="E6" s="5">
        <v>112392.6</v>
      </c>
      <c r="G6" s="5">
        <v>46351.06</v>
      </c>
      <c r="H6" s="5">
        <v>36361.519999999997</v>
      </c>
      <c r="I6" s="5">
        <v>32327.72</v>
      </c>
      <c r="J6" s="5">
        <v>30342.240000000002</v>
      </c>
      <c r="L6" s="5"/>
      <c r="M6" s="5"/>
      <c r="N6" s="5"/>
      <c r="O6" s="5"/>
      <c r="Q6" s="5"/>
      <c r="R6" s="5"/>
      <c r="S6" s="5"/>
      <c r="T6" s="5"/>
      <c r="V6" s="5"/>
      <c r="W6" s="5"/>
      <c r="X6" s="5"/>
      <c r="Y6" s="5"/>
      <c r="AA6" s="5"/>
      <c r="AB6" s="5"/>
      <c r="AC6" s="5"/>
      <c r="AD6" s="5"/>
    </row>
    <row r="7" spans="2:30" x14ac:dyDescent="0.25">
      <c r="B7" s="6" t="s">
        <v>10</v>
      </c>
      <c r="C7" s="5">
        <f>+SUM(G7:J7)</f>
        <v>2065.2399999999998</v>
      </c>
      <c r="D7" s="5">
        <v>1301.28</v>
      </c>
      <c r="E7" s="5">
        <v>1246.46</v>
      </c>
      <c r="G7" s="5">
        <v>707.38</v>
      </c>
      <c r="H7" s="5">
        <v>566.36</v>
      </c>
      <c r="I7" s="5">
        <v>495.33</v>
      </c>
      <c r="J7" s="5">
        <v>296.17</v>
      </c>
      <c r="L7" s="5"/>
      <c r="M7" s="5"/>
      <c r="N7" s="5"/>
      <c r="O7" s="5"/>
      <c r="Q7" s="5"/>
      <c r="R7" s="5"/>
      <c r="S7" s="5"/>
      <c r="T7" s="5"/>
      <c r="V7" s="5"/>
      <c r="W7" s="5"/>
      <c r="X7" s="5"/>
      <c r="Y7" s="5"/>
      <c r="AA7" s="5"/>
      <c r="AB7" s="5"/>
      <c r="AC7" s="5"/>
      <c r="AD7" s="5"/>
    </row>
    <row r="8" spans="2:30" x14ac:dyDescent="0.25">
      <c r="B8" s="4" t="s">
        <v>11</v>
      </c>
      <c r="C8" s="5">
        <f>+C6+C7</f>
        <v>147447.77999999997</v>
      </c>
      <c r="D8" s="5">
        <f t="shared" ref="D8:E8" si="0">+D6+D7</f>
        <v>130631.44</v>
      </c>
      <c r="E8" s="5">
        <f t="shared" si="0"/>
        <v>113639.06000000001</v>
      </c>
      <c r="G8" s="5">
        <f t="shared" ref="G8" si="1">+G6+G7</f>
        <v>47058.439999999995</v>
      </c>
      <c r="H8" s="5">
        <f t="shared" ref="H8" si="2">+H6+H7</f>
        <v>36927.879999999997</v>
      </c>
      <c r="I8" s="5">
        <f t="shared" ref="I8" si="3">+I6+I7</f>
        <v>32823.050000000003</v>
      </c>
      <c r="J8" s="5">
        <f t="shared" ref="J8" si="4">+J6+J7</f>
        <v>30638.41</v>
      </c>
      <c r="L8" s="5">
        <f t="shared" ref="L8" si="5">+L6+L7</f>
        <v>0</v>
      </c>
      <c r="M8" s="5">
        <f t="shared" ref="M8" si="6">+M6+M7</f>
        <v>0</v>
      </c>
      <c r="N8" s="5">
        <f t="shared" ref="N8" si="7">+N6+N7</f>
        <v>0</v>
      </c>
      <c r="O8" s="5">
        <f t="shared" ref="O8" si="8">+O6+O7</f>
        <v>0</v>
      </c>
      <c r="Q8" s="5">
        <f t="shared" ref="Q8" si="9">+Q6+Q7</f>
        <v>0</v>
      </c>
      <c r="R8" s="5">
        <f t="shared" ref="R8" si="10">+R6+R7</f>
        <v>0</v>
      </c>
      <c r="S8" s="5">
        <f t="shared" ref="S8" si="11">+S6+S7</f>
        <v>0</v>
      </c>
      <c r="T8" s="5">
        <f t="shared" ref="T8" si="12">+T6+T7</f>
        <v>0</v>
      </c>
      <c r="V8" s="5">
        <f t="shared" ref="V8" si="13">+V6+V7</f>
        <v>0</v>
      </c>
      <c r="W8" s="5">
        <f t="shared" ref="W8" si="14">+W6+W7</f>
        <v>0</v>
      </c>
      <c r="X8" s="5">
        <f t="shared" ref="X8" si="15">+X6+X7</f>
        <v>0</v>
      </c>
      <c r="Y8" s="5">
        <f t="shared" ref="Y8" si="16">+Y6+Y7</f>
        <v>0</v>
      </c>
      <c r="AA8" s="5">
        <f t="shared" ref="AA8" si="17">+AA6+AA7</f>
        <v>0</v>
      </c>
      <c r="AB8" s="5">
        <f t="shared" ref="AB8" si="18">+AB6+AB7</f>
        <v>0</v>
      </c>
      <c r="AC8" s="5">
        <f t="shared" ref="AC8" si="19">+AC6+AC7</f>
        <v>0</v>
      </c>
      <c r="AD8" s="5">
        <f t="shared" ref="AD8" si="20">+AD6+AD7</f>
        <v>0</v>
      </c>
    </row>
    <row r="10" spans="2:30" x14ac:dyDescent="0.25">
      <c r="B10" s="4" t="s">
        <v>17</v>
      </c>
      <c r="C10" s="74"/>
      <c r="D10" s="75"/>
      <c r="E10" s="75"/>
      <c r="G10" s="74"/>
      <c r="H10" s="75"/>
      <c r="I10" s="75"/>
      <c r="J10" s="76"/>
      <c r="L10" s="74"/>
      <c r="M10" s="75"/>
      <c r="N10" s="75"/>
      <c r="O10" s="76"/>
      <c r="Q10" s="74"/>
      <c r="R10" s="75"/>
      <c r="S10" s="75"/>
      <c r="T10" s="76"/>
      <c r="V10" s="74"/>
      <c r="W10" s="75"/>
      <c r="X10" s="75"/>
      <c r="Y10" s="76"/>
      <c r="AA10" s="74"/>
      <c r="AB10" s="75"/>
      <c r="AC10" s="75"/>
      <c r="AD10" s="76"/>
    </row>
    <row r="11" spans="2:30" ht="27.6" x14ac:dyDescent="0.25">
      <c r="B11" s="7" t="s">
        <v>18</v>
      </c>
      <c r="C11" s="5">
        <f t="shared" ref="C11:C16" si="21">+SUM(G11:J11)</f>
        <v>90237.58</v>
      </c>
      <c r="D11" s="5">
        <v>82903.83</v>
      </c>
      <c r="E11" s="5">
        <v>74273.53</v>
      </c>
      <c r="G11" s="5">
        <v>26278.09</v>
      </c>
      <c r="H11" s="5">
        <v>23576.89</v>
      </c>
      <c r="I11" s="5">
        <v>21661.19</v>
      </c>
      <c r="J11" s="5">
        <v>18721.41</v>
      </c>
      <c r="L11" s="5"/>
      <c r="M11" s="5"/>
      <c r="N11" s="5"/>
      <c r="O11" s="5"/>
      <c r="Q11" s="5"/>
      <c r="R11" s="5"/>
      <c r="S11" s="5"/>
      <c r="T11" s="5"/>
      <c r="V11" s="5"/>
      <c r="W11" s="5"/>
      <c r="X11" s="5"/>
      <c r="Y11" s="5"/>
      <c r="AA11" s="5"/>
      <c r="AB11" s="5"/>
      <c r="AC11" s="5"/>
      <c r="AD11" s="5"/>
    </row>
    <row r="12" spans="2:30" ht="41.4" x14ac:dyDescent="0.25">
      <c r="B12" s="7" t="s">
        <v>19</v>
      </c>
      <c r="C12" s="5">
        <f t="shared" si="21"/>
        <v>-1331.58</v>
      </c>
      <c r="D12" s="5">
        <v>-527.73</v>
      </c>
      <c r="E12" s="5">
        <v>-1025.19</v>
      </c>
      <c r="G12" s="5">
        <v>2227.65</v>
      </c>
      <c r="H12" s="5">
        <v>-1325.72</v>
      </c>
      <c r="I12" s="5">
        <v>-2616.11</v>
      </c>
      <c r="J12" s="5">
        <v>382.6</v>
      </c>
      <c r="L12" s="5"/>
      <c r="M12" s="5"/>
      <c r="N12" s="5"/>
      <c r="O12" s="5"/>
      <c r="Q12" s="5"/>
      <c r="R12" s="5"/>
      <c r="S12" s="5"/>
      <c r="T12" s="5"/>
      <c r="V12" s="5"/>
      <c r="W12" s="5"/>
      <c r="X12" s="5"/>
      <c r="Y12" s="5"/>
      <c r="AA12" s="5"/>
      <c r="AB12" s="5"/>
      <c r="AC12" s="5"/>
      <c r="AD12" s="5"/>
    </row>
    <row r="13" spans="2:30" x14ac:dyDescent="0.25">
      <c r="B13" s="5" t="s">
        <v>20</v>
      </c>
      <c r="C13" s="5">
        <f t="shared" si="21"/>
        <v>14700.3</v>
      </c>
      <c r="D13" s="5">
        <v>11896.82</v>
      </c>
      <c r="E13" s="5">
        <v>9336.2999999999993</v>
      </c>
      <c r="G13" s="5">
        <v>3981.97</v>
      </c>
      <c r="H13" s="5">
        <v>3849.82</v>
      </c>
      <c r="I13" s="5">
        <v>3701.3</v>
      </c>
      <c r="J13" s="5">
        <v>3167.21</v>
      </c>
      <c r="L13" s="5"/>
      <c r="M13" s="5"/>
      <c r="N13" s="5"/>
      <c r="O13" s="5"/>
      <c r="Q13" s="5"/>
      <c r="R13" s="5"/>
      <c r="S13" s="5"/>
      <c r="T13" s="5"/>
      <c r="V13" s="5"/>
      <c r="W13" s="5"/>
      <c r="X13" s="5"/>
      <c r="Y13" s="5"/>
      <c r="AA13" s="5"/>
      <c r="AB13" s="5"/>
      <c r="AC13" s="5"/>
      <c r="AD13" s="5"/>
    </row>
    <row r="14" spans="2:30" x14ac:dyDescent="0.25">
      <c r="B14" s="5" t="s">
        <v>21</v>
      </c>
      <c r="C14" s="5">
        <f t="shared" si="21"/>
        <v>242.39000000000004</v>
      </c>
      <c r="D14" s="5">
        <v>216.24</v>
      </c>
      <c r="E14" s="5">
        <v>259.62</v>
      </c>
      <c r="G14" s="5">
        <v>66.930000000000007</v>
      </c>
      <c r="H14" s="5">
        <v>79.73</v>
      </c>
      <c r="I14" s="5">
        <v>43.17</v>
      </c>
      <c r="J14" s="5">
        <v>52.56</v>
      </c>
      <c r="L14" s="5"/>
      <c r="M14" s="5"/>
      <c r="N14" s="5"/>
      <c r="O14" s="5"/>
      <c r="Q14" s="5"/>
      <c r="R14" s="5"/>
      <c r="S14" s="5"/>
      <c r="T14" s="5"/>
      <c r="V14" s="5"/>
      <c r="W14" s="5"/>
      <c r="X14" s="5"/>
      <c r="Y14" s="5"/>
      <c r="AA14" s="5"/>
      <c r="AB14" s="5"/>
      <c r="AC14" s="5"/>
      <c r="AD14" s="5"/>
    </row>
    <row r="15" spans="2:30" ht="27.6" x14ac:dyDescent="0.25">
      <c r="B15" s="7" t="s">
        <v>22</v>
      </c>
      <c r="C15" s="5">
        <f t="shared" si="21"/>
        <v>1177.06</v>
      </c>
      <c r="D15" s="5">
        <v>797.65</v>
      </c>
      <c r="E15" s="5">
        <v>729.62</v>
      </c>
      <c r="G15" s="5">
        <v>485.77</v>
      </c>
      <c r="H15" s="5">
        <v>246.12</v>
      </c>
      <c r="I15" s="5">
        <v>231.75</v>
      </c>
      <c r="J15" s="5">
        <v>213.42</v>
      </c>
      <c r="L15" s="5"/>
      <c r="M15" s="5"/>
      <c r="N15" s="5"/>
      <c r="O15" s="5"/>
      <c r="Q15" s="5"/>
      <c r="R15" s="5"/>
      <c r="S15" s="5"/>
      <c r="T15" s="5"/>
      <c r="V15" s="5"/>
      <c r="W15" s="5"/>
      <c r="X15" s="5"/>
      <c r="Y15" s="5"/>
      <c r="AA15" s="5"/>
      <c r="AB15" s="5"/>
      <c r="AC15" s="5"/>
      <c r="AD15" s="5"/>
    </row>
    <row r="16" spans="2:30" x14ac:dyDescent="0.25">
      <c r="B16" s="5" t="s">
        <v>23</v>
      </c>
      <c r="C16" s="5">
        <f t="shared" si="21"/>
        <v>28152.120000000003</v>
      </c>
      <c r="D16" s="5">
        <v>23755.75</v>
      </c>
      <c r="E16" s="5">
        <v>19169.91</v>
      </c>
      <c r="G16" s="5">
        <v>8979.15</v>
      </c>
      <c r="H16" s="5">
        <v>6749.9</v>
      </c>
      <c r="I16" s="5">
        <v>7057.97</v>
      </c>
      <c r="J16" s="5">
        <v>5365.1</v>
      </c>
      <c r="L16" s="5"/>
      <c r="M16" s="5"/>
      <c r="N16" s="5"/>
      <c r="O16" s="5"/>
      <c r="Q16" s="5"/>
      <c r="R16" s="5"/>
      <c r="S16" s="5"/>
      <c r="T16" s="5"/>
      <c r="V16" s="5"/>
      <c r="W16" s="5"/>
      <c r="X16" s="5"/>
      <c r="Y16" s="5"/>
      <c r="AA16" s="5"/>
      <c r="AB16" s="5"/>
      <c r="AC16" s="5"/>
      <c r="AD16" s="5"/>
    </row>
    <row r="17" spans="2:30" x14ac:dyDescent="0.25">
      <c r="B17" s="4" t="s">
        <v>24</v>
      </c>
      <c r="C17" s="5">
        <f>SUM(C11:C16)</f>
        <v>133177.87</v>
      </c>
      <c r="D17" s="5">
        <f t="shared" ref="D17:E17" si="22">SUM(D11:D16)</f>
        <v>119042.56000000001</v>
      </c>
      <c r="E17" s="5">
        <f t="shared" si="22"/>
        <v>102743.79</v>
      </c>
      <c r="G17" s="5">
        <f>SUM(G11:G16)</f>
        <v>42019.560000000005</v>
      </c>
      <c r="H17" s="5">
        <f t="shared" ref="H17" si="23">SUM(H11:H16)</f>
        <v>33176.74</v>
      </c>
      <c r="I17" s="5">
        <f t="shared" ref="I17" si="24">SUM(I11:I16)</f>
        <v>30079.269999999997</v>
      </c>
      <c r="J17" s="5">
        <f t="shared" ref="J17" si="25">SUM(J11:J16)</f>
        <v>27902.299999999996</v>
      </c>
      <c r="L17" s="5">
        <f>SUM(L11:L16)</f>
        <v>0</v>
      </c>
      <c r="M17" s="5">
        <f t="shared" ref="M17" si="26">SUM(M11:M16)</f>
        <v>0</v>
      </c>
      <c r="N17" s="5">
        <f t="shared" ref="N17" si="27">SUM(N11:N16)</f>
        <v>0</v>
      </c>
      <c r="O17" s="5">
        <f t="shared" ref="O17" si="28">SUM(O11:O16)</f>
        <v>0</v>
      </c>
      <c r="Q17" s="5">
        <f>SUM(Q11:Q16)</f>
        <v>0</v>
      </c>
      <c r="R17" s="5">
        <f t="shared" ref="R17" si="29">SUM(R11:R16)</f>
        <v>0</v>
      </c>
      <c r="S17" s="5">
        <f t="shared" ref="S17" si="30">SUM(S11:S16)</f>
        <v>0</v>
      </c>
      <c r="T17" s="5">
        <f t="shared" ref="T17" si="31">SUM(T11:T16)</f>
        <v>0</v>
      </c>
      <c r="V17" s="5">
        <f>SUM(V11:V16)</f>
        <v>0</v>
      </c>
      <c r="W17" s="5">
        <f t="shared" ref="W17" si="32">SUM(W11:W16)</f>
        <v>0</v>
      </c>
      <c r="X17" s="5">
        <f t="shared" ref="X17" si="33">SUM(X11:X16)</f>
        <v>0</v>
      </c>
      <c r="Y17" s="5">
        <f t="shared" ref="Y17" si="34">SUM(Y11:Y16)</f>
        <v>0</v>
      </c>
      <c r="AA17" s="5">
        <f>SUM(AA11:AA16)</f>
        <v>0</v>
      </c>
      <c r="AB17" s="5">
        <f t="shared" ref="AB17" si="35">SUM(AB11:AB16)</f>
        <v>0</v>
      </c>
      <c r="AC17" s="5">
        <f t="shared" ref="AC17" si="36">SUM(AC11:AC16)</f>
        <v>0</v>
      </c>
      <c r="AD17" s="5">
        <f t="shared" ref="AD17" si="37">SUM(AD11:AD16)</f>
        <v>0</v>
      </c>
    </row>
    <row r="19" spans="2:30" x14ac:dyDescent="0.25">
      <c r="B19" s="4" t="s">
        <v>25</v>
      </c>
      <c r="C19" s="4">
        <f>+C8-C17</f>
        <v>14269.909999999974</v>
      </c>
      <c r="D19" s="4">
        <f>+D8-D17</f>
        <v>11588.87999999999</v>
      </c>
      <c r="E19" s="4">
        <f>+E8-E17</f>
        <v>10895.270000000019</v>
      </c>
      <c r="G19" s="4">
        <f>+G8-G17</f>
        <v>5038.8799999999901</v>
      </c>
      <c r="H19" s="4">
        <f>+H8-H17</f>
        <v>3751.1399999999994</v>
      </c>
      <c r="I19" s="4">
        <f>+I8-I17</f>
        <v>2743.7800000000061</v>
      </c>
      <c r="J19" s="4">
        <f>+J8-J17</f>
        <v>2736.1100000000042</v>
      </c>
      <c r="L19" s="4">
        <f>+L8-L17</f>
        <v>0</v>
      </c>
      <c r="M19" s="4">
        <f>+M8-M17</f>
        <v>0</v>
      </c>
      <c r="N19" s="4">
        <f>+N8-N17</f>
        <v>0</v>
      </c>
      <c r="O19" s="4">
        <f>+O8-O17</f>
        <v>0</v>
      </c>
      <c r="Q19" s="4">
        <f>+Q8-Q17</f>
        <v>0</v>
      </c>
      <c r="R19" s="4">
        <f>+R8-R17</f>
        <v>0</v>
      </c>
      <c r="S19" s="4">
        <f>+S8-S17</f>
        <v>0</v>
      </c>
      <c r="T19" s="4">
        <f>+T8-T17</f>
        <v>0</v>
      </c>
      <c r="V19" s="4">
        <f>+V8-V17</f>
        <v>0</v>
      </c>
      <c r="W19" s="4">
        <f>+W8-W17</f>
        <v>0</v>
      </c>
      <c r="X19" s="4">
        <f>+X8-X17</f>
        <v>0</v>
      </c>
      <c r="Y19" s="4">
        <f>+Y8-Y17</f>
        <v>0</v>
      </c>
      <c r="AA19" s="4">
        <f>+AA8-AA17</f>
        <v>0</v>
      </c>
      <c r="AB19" s="4">
        <f>+AB8-AB17</f>
        <v>0</v>
      </c>
      <c r="AC19" s="4">
        <f>+AC8-AC17</f>
        <v>0</v>
      </c>
      <c r="AD19" s="4">
        <f>+AD8-AD17</f>
        <v>0</v>
      </c>
    </row>
    <row r="20" spans="2:30" x14ac:dyDescent="0.25">
      <c r="B20" s="5" t="s">
        <v>27</v>
      </c>
      <c r="C20" s="5">
        <f>+SUM(G20:J20)</f>
        <v>3298.7</v>
      </c>
      <c r="D20" s="5">
        <f>2989.22</f>
        <v>2989.22</v>
      </c>
      <c r="E20" s="5">
        <f>2323.44+52.89</f>
        <v>2376.33</v>
      </c>
      <c r="G20" s="5">
        <v>903.84</v>
      </c>
      <c r="H20" s="5">
        <v>756.92</v>
      </c>
      <c r="I20" s="5">
        <v>933.02</v>
      </c>
      <c r="J20" s="5">
        <v>704.92</v>
      </c>
      <c r="L20" s="5"/>
      <c r="M20" s="5"/>
      <c r="N20" s="5"/>
      <c r="O20" s="5"/>
      <c r="Q20" s="5"/>
      <c r="R20" s="5"/>
      <c r="S20" s="5"/>
      <c r="T20" s="5"/>
      <c r="V20" s="5"/>
      <c r="W20" s="5"/>
      <c r="X20" s="5"/>
      <c r="Y20" s="5"/>
      <c r="AA20" s="5"/>
      <c r="AB20" s="5"/>
      <c r="AC20" s="5"/>
      <c r="AD20" s="5"/>
    </row>
    <row r="21" spans="2:30" x14ac:dyDescent="0.25">
      <c r="B21" s="5" t="s">
        <v>26</v>
      </c>
      <c r="C21" s="5">
        <f>+SUM(G21:J21)</f>
        <v>188.3</v>
      </c>
      <c r="D21" s="5">
        <f>-19.38-7.16</f>
        <v>-26.54</v>
      </c>
      <c r="E21" s="5">
        <f>420.09-47.39</f>
        <v>372.7</v>
      </c>
      <c r="G21" s="5">
        <v>266.8</v>
      </c>
      <c r="H21" s="5">
        <v>174.56</v>
      </c>
      <c r="I21" s="5">
        <v>-256.3</v>
      </c>
      <c r="J21" s="5">
        <v>3.24</v>
      </c>
      <c r="L21" s="5"/>
      <c r="M21" s="5"/>
      <c r="N21" s="5"/>
      <c r="O21" s="5"/>
      <c r="Q21" s="5"/>
      <c r="R21" s="5"/>
      <c r="S21" s="5"/>
      <c r="T21" s="5"/>
      <c r="V21" s="5"/>
      <c r="W21" s="5"/>
      <c r="X21" s="5"/>
      <c r="Y21" s="5"/>
      <c r="AA21" s="5"/>
      <c r="AB21" s="5"/>
      <c r="AC21" s="5"/>
      <c r="AD21" s="5"/>
    </row>
    <row r="22" spans="2:30" x14ac:dyDescent="0.25">
      <c r="B22" s="4" t="s">
        <v>28</v>
      </c>
      <c r="C22" s="4">
        <f>+C19-C20-C21</f>
        <v>10782.909999999974</v>
      </c>
      <c r="D22" s="4">
        <f t="shared" ref="D22:E22" si="38">+D19-D20-D21</f>
        <v>8626.1999999999916</v>
      </c>
      <c r="E22" s="4">
        <f t="shared" si="38"/>
        <v>8146.2400000000189</v>
      </c>
      <c r="G22" s="4">
        <f>+G19-G20-G21</f>
        <v>3868.2399999999898</v>
      </c>
      <c r="H22" s="4">
        <f t="shared" ref="H22" si="39">+H19-H20-H21</f>
        <v>2819.6599999999994</v>
      </c>
      <c r="I22" s="4">
        <f t="shared" ref="I22" si="40">+I19-I20-I21</f>
        <v>2067.0600000000063</v>
      </c>
      <c r="J22" s="4">
        <f t="shared" ref="J22" si="41">+J19-J20-J21</f>
        <v>2027.9500000000041</v>
      </c>
      <c r="L22" s="5">
        <f>+L19-L20-L21</f>
        <v>0</v>
      </c>
      <c r="M22" s="5">
        <f t="shared" ref="M22" si="42">+M19-M20-M21</f>
        <v>0</v>
      </c>
      <c r="N22" s="5">
        <f t="shared" ref="N22" si="43">+N19-N20-N21</f>
        <v>0</v>
      </c>
      <c r="O22" s="5">
        <f t="shared" ref="O22" si="44">+O19-O20-O21</f>
        <v>0</v>
      </c>
      <c r="Q22" s="5">
        <f>+Q19-Q20-Q21</f>
        <v>0</v>
      </c>
      <c r="R22" s="5">
        <f t="shared" ref="R22" si="45">+R19-R20-R21</f>
        <v>0</v>
      </c>
      <c r="S22" s="5">
        <f t="shared" ref="S22" si="46">+S19-S20-S21</f>
        <v>0</v>
      </c>
      <c r="T22" s="5">
        <f t="shared" ref="T22" si="47">+T19-T20-T21</f>
        <v>0</v>
      </c>
      <c r="V22" s="5">
        <f>+V19-V20-V21</f>
        <v>0</v>
      </c>
      <c r="W22" s="5">
        <f t="shared" ref="W22" si="48">+W19-W20-W21</f>
        <v>0</v>
      </c>
      <c r="X22" s="5">
        <f t="shared" ref="X22" si="49">+X19-X20-X21</f>
        <v>0</v>
      </c>
      <c r="Y22" s="5">
        <f t="shared" ref="Y22" si="50">+Y19-Y20-Y21</f>
        <v>0</v>
      </c>
      <c r="AA22" s="5">
        <f>+AA19-AA20-AA21</f>
        <v>0</v>
      </c>
      <c r="AB22" s="5">
        <f t="shared" ref="AB22" si="51">+AB19-AB20-AB21</f>
        <v>0</v>
      </c>
      <c r="AC22" s="5">
        <f t="shared" ref="AC22" si="52">+AC19-AC20-AC21</f>
        <v>0</v>
      </c>
      <c r="AD22" s="5">
        <f t="shared" ref="AD22" si="53">+AD19-AD20-AD21</f>
        <v>0</v>
      </c>
    </row>
    <row r="24" spans="2:30" x14ac:dyDescent="0.25">
      <c r="B24" s="5" t="s">
        <v>29</v>
      </c>
      <c r="C24" s="5">
        <f>+SUM(G24:J24)</f>
        <v>67.28</v>
      </c>
      <c r="D24" s="5">
        <v>56.68</v>
      </c>
      <c r="E24" s="5">
        <v>54.31</v>
      </c>
      <c r="G24" s="5">
        <v>23.01</v>
      </c>
      <c r="H24" s="5">
        <v>16.79</v>
      </c>
      <c r="I24" s="5">
        <v>13.41</v>
      </c>
      <c r="J24" s="5">
        <v>14.07</v>
      </c>
      <c r="L24" s="5"/>
      <c r="M24" s="5"/>
      <c r="N24" s="5"/>
      <c r="O24" s="5"/>
      <c r="Q24" s="5"/>
      <c r="R24" s="5"/>
      <c r="S24" s="5"/>
      <c r="T24" s="5"/>
      <c r="V24" s="5"/>
      <c r="W24" s="5"/>
      <c r="X24" s="5"/>
      <c r="Y24" s="5"/>
      <c r="AA24" s="5"/>
      <c r="AB24" s="5"/>
      <c r="AC24" s="5"/>
      <c r="AD24" s="5"/>
    </row>
    <row r="25" spans="2:30" x14ac:dyDescent="0.25">
      <c r="B25" s="5" t="s">
        <v>30</v>
      </c>
      <c r="C25" s="5">
        <f>+C22/C24</f>
        <v>160.26917360285336</v>
      </c>
      <c r="D25" s="5">
        <f>+D22/D24</f>
        <v>152.19124911785448</v>
      </c>
      <c r="E25" s="5">
        <f>+E22/E24</f>
        <v>149.99521266801727</v>
      </c>
      <c r="G25" s="5">
        <f>+G22/G24</f>
        <v>168.11125597566229</v>
      </c>
      <c r="H25" s="5">
        <f>+H22/H24</f>
        <v>167.9368671828469</v>
      </c>
      <c r="I25" s="5">
        <f>+I22/I24</f>
        <v>154.14317673378122</v>
      </c>
      <c r="J25" s="5">
        <f>+J22/J24</f>
        <v>144.13290689410121</v>
      </c>
      <c r="L25" s="5" t="e">
        <f>+L22/L24</f>
        <v>#DIV/0!</v>
      </c>
      <c r="M25" s="5" t="e">
        <f>+M22/M24</f>
        <v>#DIV/0!</v>
      </c>
      <c r="N25" s="5" t="e">
        <f>+N22/N24</f>
        <v>#DIV/0!</v>
      </c>
      <c r="O25" s="5" t="e">
        <f>+O22/O24</f>
        <v>#DIV/0!</v>
      </c>
      <c r="Q25" s="5" t="e">
        <f>+Q22/Q24</f>
        <v>#DIV/0!</v>
      </c>
      <c r="R25" s="5" t="e">
        <f>+R22/R24</f>
        <v>#DIV/0!</v>
      </c>
      <c r="S25" s="5" t="e">
        <f>+S22/S24</f>
        <v>#DIV/0!</v>
      </c>
      <c r="T25" s="5" t="e">
        <f>+T22/T24</f>
        <v>#DIV/0!</v>
      </c>
      <c r="V25" s="5" t="e">
        <f>+V22/V24</f>
        <v>#DIV/0!</v>
      </c>
      <c r="W25" s="5" t="e">
        <f>+W22/W24</f>
        <v>#DIV/0!</v>
      </c>
      <c r="X25" s="5" t="e">
        <f>+X22/X24</f>
        <v>#DIV/0!</v>
      </c>
      <c r="Y25" s="5" t="e">
        <f>+Y22/Y24</f>
        <v>#DIV/0!</v>
      </c>
      <c r="AA25" s="5" t="e">
        <f>+AA22/AA24</f>
        <v>#DIV/0!</v>
      </c>
      <c r="AB25" s="5" t="e">
        <f>+AB22/AB24</f>
        <v>#DIV/0!</v>
      </c>
      <c r="AC25" s="5" t="e">
        <f>+AC22/AC24</f>
        <v>#DIV/0!</v>
      </c>
      <c r="AD25" s="5" t="e">
        <f>+AD22/AD24</f>
        <v>#DIV/0!</v>
      </c>
    </row>
    <row r="27" spans="2:30" x14ac:dyDescent="0.25">
      <c r="B27" s="4" t="s">
        <v>42</v>
      </c>
      <c r="C27" s="5">
        <f>+C6-C11-C12</f>
        <v>56476.539999999979</v>
      </c>
      <c r="D27" s="5">
        <f t="shared" ref="D27:E27" si="54">+D6-D11-D12</f>
        <v>46954.060000000005</v>
      </c>
      <c r="E27" s="5">
        <f t="shared" si="54"/>
        <v>39144.260000000009</v>
      </c>
      <c r="G27" s="5">
        <f>+G6-G11-G12</f>
        <v>17845.319999999996</v>
      </c>
      <c r="H27" s="5">
        <f t="shared" ref="H27:J27" si="55">+H6-H11-H12</f>
        <v>14110.349999999997</v>
      </c>
      <c r="I27" s="5">
        <f t="shared" si="55"/>
        <v>13282.640000000003</v>
      </c>
      <c r="J27" s="5">
        <f t="shared" si="55"/>
        <v>11238.230000000001</v>
      </c>
    </row>
    <row r="28" spans="2:30" x14ac:dyDescent="0.25">
      <c r="B28" s="4" t="s">
        <v>43</v>
      </c>
      <c r="C28" s="9">
        <f>+C27/C6</f>
        <v>0.38846851898446666</v>
      </c>
      <c r="D28" s="9">
        <f t="shared" ref="D28:E28" si="56">+D27/D6</f>
        <v>0.36305576363626246</v>
      </c>
      <c r="E28" s="9">
        <f t="shared" si="56"/>
        <v>0.34828147048827063</v>
      </c>
      <c r="G28" s="9">
        <f t="shared" ref="G28" si="57">+G27/G6</f>
        <v>0.38500349290825275</v>
      </c>
      <c r="H28" s="9">
        <f t="shared" ref="H28" si="58">+H27/H6</f>
        <v>0.38805720992961784</v>
      </c>
      <c r="I28" s="9">
        <f t="shared" ref="I28" si="59">+I27/I6</f>
        <v>0.4108746301935306</v>
      </c>
      <c r="J28" s="9">
        <f t="shared" ref="J28" si="60">+J27/J6</f>
        <v>0.37038234487631766</v>
      </c>
    </row>
    <row r="29" spans="2:30" x14ac:dyDescent="0.25">
      <c r="B29" s="4" t="s">
        <v>44</v>
      </c>
      <c r="C29" s="9">
        <f>+C22/C6</f>
        <v>7.4169222796630019E-2</v>
      </c>
      <c r="D29" s="9">
        <f t="shared" ref="D29:J29" si="61">+D22/D6</f>
        <v>6.6699059214030132E-2</v>
      </c>
      <c r="E29" s="9">
        <f t="shared" si="61"/>
        <v>7.248021666906912E-2</v>
      </c>
      <c r="G29" s="9">
        <f t="shared" si="61"/>
        <v>8.3455265100733186E-2</v>
      </c>
      <c r="H29" s="9">
        <f t="shared" si="61"/>
        <v>7.7545163128494063E-2</v>
      </c>
      <c r="I29" s="9">
        <f t="shared" si="61"/>
        <v>6.3940791370378308E-2</v>
      </c>
      <c r="J29" s="9">
        <f t="shared" si="61"/>
        <v>6.6835869731437236E-2</v>
      </c>
    </row>
    <row r="30" spans="2:30" x14ac:dyDescent="0.25">
      <c r="B30" s="4" t="s">
        <v>197</v>
      </c>
      <c r="C30" s="9">
        <f>(+C19-D19)/D19</f>
        <v>0.23134504801154093</v>
      </c>
      <c r="D30" s="9">
        <f>(+D19-E19)/E19</f>
        <v>6.3661570571447085E-2</v>
      </c>
      <c r="E30" s="5">
        <v>0</v>
      </c>
      <c r="G30" s="24"/>
      <c r="H30" s="24"/>
      <c r="I30" s="24"/>
      <c r="J30" s="24"/>
    </row>
    <row r="31" spans="2:30" x14ac:dyDescent="0.25">
      <c r="G31" s="8"/>
    </row>
    <row r="33" spans="2:10" x14ac:dyDescent="0.25">
      <c r="B33" s="4" t="s">
        <v>45</v>
      </c>
    </row>
    <row r="34" spans="2:10" x14ac:dyDescent="0.25">
      <c r="B34" s="4" t="s">
        <v>46</v>
      </c>
      <c r="G34" s="4" t="s">
        <v>70</v>
      </c>
      <c r="H34" s="5"/>
      <c r="I34" s="5"/>
      <c r="J34" s="5"/>
    </row>
    <row r="35" spans="2:10" x14ac:dyDescent="0.25">
      <c r="B35" s="4" t="s">
        <v>47</v>
      </c>
      <c r="G35" s="4" t="s">
        <v>71</v>
      </c>
      <c r="H35" s="5"/>
      <c r="I35" s="5"/>
      <c r="J35" s="5"/>
    </row>
    <row r="36" spans="2:10" ht="27.6" x14ac:dyDescent="0.25">
      <c r="B36" s="7" t="s">
        <v>48</v>
      </c>
      <c r="C36" s="5">
        <v>14937.82</v>
      </c>
      <c r="D36" s="5">
        <v>10636.72</v>
      </c>
      <c r="E36" s="5">
        <v>10391.94</v>
      </c>
      <c r="G36" s="5" t="s">
        <v>72</v>
      </c>
      <c r="H36" s="5">
        <v>1664.04</v>
      </c>
      <c r="I36" s="5">
        <v>1441.59</v>
      </c>
      <c r="J36" s="5">
        <v>1500.06</v>
      </c>
    </row>
    <row r="37" spans="2:10" x14ac:dyDescent="0.25">
      <c r="B37" s="5" t="s">
        <v>49</v>
      </c>
      <c r="C37" s="5">
        <v>1346.41</v>
      </c>
      <c r="D37" s="5">
        <v>1268.1600000000001</v>
      </c>
      <c r="E37" s="5">
        <v>0</v>
      </c>
      <c r="G37" s="5" t="s">
        <v>73</v>
      </c>
      <c r="H37" s="5">
        <v>73477.89</v>
      </c>
      <c r="I37" s="5">
        <v>43020.87</v>
      </c>
      <c r="J37" s="5">
        <f>84.9+9149.97+5659.12+23533.85</f>
        <v>38427.839999999997</v>
      </c>
    </row>
    <row r="38" spans="2:10" x14ac:dyDescent="0.25">
      <c r="B38" s="5" t="s">
        <v>50</v>
      </c>
      <c r="C38" s="5">
        <v>269.82</v>
      </c>
      <c r="D38" s="5">
        <v>276.64</v>
      </c>
      <c r="E38" s="5">
        <v>283.45999999999998</v>
      </c>
      <c r="G38" s="4" t="s">
        <v>74</v>
      </c>
      <c r="H38" s="4">
        <f>+H36+H37</f>
        <v>75141.929999999993</v>
      </c>
      <c r="I38" s="4">
        <f>+I36+I37</f>
        <v>44462.46</v>
      </c>
      <c r="J38" s="4">
        <f>+J36+J37</f>
        <v>39927.899999999994</v>
      </c>
    </row>
    <row r="39" spans="2:10" x14ac:dyDescent="0.25">
      <c r="B39" s="5" t="s">
        <v>51</v>
      </c>
      <c r="C39" s="5">
        <v>43.2</v>
      </c>
      <c r="D39" s="5">
        <v>18.420000000000002</v>
      </c>
      <c r="E39" s="5">
        <v>3.7</v>
      </c>
    </row>
    <row r="40" spans="2:10" x14ac:dyDescent="0.25">
      <c r="B40" s="5" t="s">
        <v>52</v>
      </c>
      <c r="C40" s="5">
        <v>6532.86</v>
      </c>
      <c r="D40" s="5">
        <v>5653.61</v>
      </c>
      <c r="E40" s="5">
        <v>5357.58</v>
      </c>
      <c r="G40" s="4" t="s">
        <v>75</v>
      </c>
      <c r="H40" s="5"/>
      <c r="I40" s="5"/>
      <c r="J40" s="5"/>
    </row>
    <row r="41" spans="2:10" x14ac:dyDescent="0.25">
      <c r="B41" s="5" t="s">
        <v>53</v>
      </c>
      <c r="C41" s="5"/>
      <c r="D41" s="5"/>
      <c r="E41" s="5"/>
      <c r="G41" s="4" t="s">
        <v>76</v>
      </c>
      <c r="H41" s="5"/>
      <c r="I41" s="5"/>
      <c r="J41" s="5"/>
    </row>
    <row r="42" spans="2:10" x14ac:dyDescent="0.25">
      <c r="B42" s="6" t="s">
        <v>54</v>
      </c>
      <c r="C42" s="5">
        <v>3588.02</v>
      </c>
      <c r="D42" s="5">
        <v>536.41999999999996</v>
      </c>
      <c r="E42" s="5">
        <v>501.02</v>
      </c>
      <c r="G42" s="5" t="s">
        <v>77</v>
      </c>
      <c r="H42" s="5"/>
      <c r="I42" s="5"/>
      <c r="J42" s="5"/>
    </row>
    <row r="43" spans="2:10" x14ac:dyDescent="0.25">
      <c r="B43" s="6" t="s">
        <v>55</v>
      </c>
      <c r="C43" s="5">
        <v>6663.4</v>
      </c>
      <c r="D43" s="5">
        <v>4813.26</v>
      </c>
      <c r="E43" s="5">
        <v>3837.04</v>
      </c>
      <c r="G43" s="6" t="s">
        <v>78</v>
      </c>
      <c r="H43" s="5">
        <v>27.94</v>
      </c>
      <c r="I43" s="5">
        <v>64.37</v>
      </c>
      <c r="J43" s="5">
        <v>110.56</v>
      </c>
    </row>
    <row r="44" spans="2:10" x14ac:dyDescent="0.25">
      <c r="B44" s="6" t="s">
        <v>56</v>
      </c>
      <c r="C44" s="5">
        <v>55.71</v>
      </c>
      <c r="D44" s="5">
        <v>45.15</v>
      </c>
      <c r="E44" s="5">
        <v>0</v>
      </c>
      <c r="G44" s="6" t="s">
        <v>79</v>
      </c>
      <c r="H44" s="5">
        <v>231.79</v>
      </c>
      <c r="I44" s="5">
        <v>267.76</v>
      </c>
      <c r="J44" s="5">
        <v>577.74</v>
      </c>
    </row>
    <row r="45" spans="2:10" x14ac:dyDescent="0.25">
      <c r="B45" s="6" t="s">
        <v>57</v>
      </c>
      <c r="C45" s="5">
        <v>220.82</v>
      </c>
      <c r="D45" s="5">
        <v>279.2</v>
      </c>
      <c r="E45" s="5">
        <v>159.84</v>
      </c>
      <c r="G45" s="5" t="s">
        <v>80</v>
      </c>
      <c r="H45" s="5">
        <v>2.93</v>
      </c>
      <c r="I45" s="5">
        <v>4.3899999999999997</v>
      </c>
      <c r="J45" s="5">
        <v>5.86</v>
      </c>
    </row>
    <row r="46" spans="2:10" ht="27.6" x14ac:dyDescent="0.25">
      <c r="B46" s="5" t="s">
        <v>58</v>
      </c>
      <c r="C46" s="5">
        <v>196.83</v>
      </c>
      <c r="D46" s="5">
        <v>239.52</v>
      </c>
      <c r="E46" s="5">
        <v>187.85</v>
      </c>
      <c r="G46" s="7" t="s">
        <v>81</v>
      </c>
      <c r="H46" s="5">
        <v>0</v>
      </c>
      <c r="I46" s="5">
        <v>111.2</v>
      </c>
      <c r="J46" s="5">
        <v>906.38</v>
      </c>
    </row>
    <row r="47" spans="2:10" x14ac:dyDescent="0.25">
      <c r="B47" s="5" t="s">
        <v>59</v>
      </c>
      <c r="C47" s="5">
        <v>1625.88</v>
      </c>
      <c r="D47" s="5">
        <v>270.73</v>
      </c>
      <c r="E47" s="5">
        <v>408.32</v>
      </c>
      <c r="G47" s="5" t="s">
        <v>82</v>
      </c>
      <c r="H47" s="5">
        <v>770.96</v>
      </c>
      <c r="I47" s="5">
        <v>571.79999999999995</v>
      </c>
      <c r="J47" s="5">
        <v>588.47</v>
      </c>
    </row>
    <row r="48" spans="2:10" x14ac:dyDescent="0.25">
      <c r="B48" s="4" t="s">
        <v>60</v>
      </c>
      <c r="C48" s="4">
        <f>+SUM(C36:C47)</f>
        <v>35480.769999999997</v>
      </c>
      <c r="D48" s="4">
        <f>+SUM(D36:D47)</f>
        <v>24037.829999999998</v>
      </c>
      <c r="E48" s="4">
        <f>+SUM(E36:E47)</f>
        <v>21130.75</v>
      </c>
      <c r="G48" s="4" t="s">
        <v>83</v>
      </c>
      <c r="H48" s="4">
        <f>+SUM(H43:H47)</f>
        <v>1033.6200000000001</v>
      </c>
      <c r="I48" s="4">
        <f>+SUM(I43:I47)</f>
        <v>1019.52</v>
      </c>
      <c r="J48" s="4">
        <f>+SUM(J43:J47)</f>
        <v>2189.0100000000002</v>
      </c>
    </row>
    <row r="50" spans="2:10" x14ac:dyDescent="0.25">
      <c r="B50" s="4" t="s">
        <v>61</v>
      </c>
    </row>
    <row r="51" spans="2:10" x14ac:dyDescent="0.25">
      <c r="B51" s="5" t="s">
        <v>62</v>
      </c>
      <c r="C51" s="5">
        <v>16573.009999999998</v>
      </c>
      <c r="D51" s="5">
        <v>14684.34</v>
      </c>
      <c r="E51" s="5">
        <v>13697.58</v>
      </c>
      <c r="G51" s="4" t="s">
        <v>84</v>
      </c>
      <c r="H51" s="5"/>
      <c r="I51" s="5"/>
      <c r="J51" s="5"/>
    </row>
    <row r="52" spans="2:10" x14ac:dyDescent="0.25">
      <c r="B52" s="5" t="s">
        <v>63</v>
      </c>
      <c r="C52" s="5">
        <v>4894.42</v>
      </c>
      <c r="D52" s="5">
        <v>3525.2</v>
      </c>
      <c r="E52" s="5">
        <v>2792.94</v>
      </c>
      <c r="G52" s="5" t="s">
        <v>85</v>
      </c>
      <c r="H52" s="5">
        <v>16413.84</v>
      </c>
      <c r="I52" s="5">
        <v>11638.64</v>
      </c>
      <c r="J52" s="5">
        <v>10602.61</v>
      </c>
    </row>
    <row r="53" spans="2:10" x14ac:dyDescent="0.25">
      <c r="B53" s="5" t="s">
        <v>53</v>
      </c>
      <c r="C53" s="5"/>
      <c r="D53" s="5"/>
      <c r="E53" s="5"/>
      <c r="G53" s="5" t="s">
        <v>77</v>
      </c>
      <c r="H53" s="5"/>
      <c r="I53" s="5"/>
      <c r="J53" s="5"/>
    </row>
    <row r="54" spans="2:10" x14ac:dyDescent="0.25">
      <c r="B54" s="6" t="s">
        <v>54</v>
      </c>
      <c r="C54" s="5">
        <v>502.1</v>
      </c>
      <c r="D54" s="5">
        <v>0</v>
      </c>
      <c r="E54" s="5">
        <v>0</v>
      </c>
      <c r="G54" s="6" t="s">
        <v>86</v>
      </c>
      <c r="H54" s="5">
        <v>1692.25</v>
      </c>
      <c r="I54" s="5">
        <v>956.45</v>
      </c>
      <c r="J54" s="5">
        <v>1027.81</v>
      </c>
    </row>
    <row r="55" spans="2:10" x14ac:dyDescent="0.25">
      <c r="B55" s="6" t="s">
        <v>55</v>
      </c>
      <c r="C55" s="5">
        <v>21095.98</v>
      </c>
      <c r="D55" s="5">
        <v>17075.189999999999</v>
      </c>
      <c r="E55" s="5">
        <v>15870.75</v>
      </c>
      <c r="G55" s="6" t="s">
        <v>79</v>
      </c>
      <c r="H55" s="5">
        <v>35.97</v>
      </c>
      <c r="I55" s="5">
        <v>50.51</v>
      </c>
      <c r="J55" s="5">
        <v>56.7</v>
      </c>
    </row>
    <row r="56" spans="2:10" x14ac:dyDescent="0.25">
      <c r="B56" s="6" t="s">
        <v>64</v>
      </c>
      <c r="C56" s="5">
        <v>8472.26</v>
      </c>
      <c r="D56" s="5">
        <v>6214.11</v>
      </c>
      <c r="E56" s="5">
        <v>5866.32</v>
      </c>
      <c r="G56" s="6" t="s">
        <v>87</v>
      </c>
      <c r="H56" s="5">
        <f>3400.1+8665.12</f>
        <v>12065.220000000001</v>
      </c>
      <c r="I56" s="5">
        <f>1081.06+12275.37</f>
        <v>13356.43</v>
      </c>
      <c r="J56" s="5">
        <f>907.1+9458.91</f>
        <v>10366.01</v>
      </c>
    </row>
    <row r="57" spans="2:10" x14ac:dyDescent="0.25">
      <c r="B57" s="6" t="s">
        <v>65</v>
      </c>
      <c r="C57" s="5">
        <v>11405.44</v>
      </c>
      <c r="D57" s="5">
        <v>7654.28</v>
      </c>
      <c r="E57" s="5">
        <v>6054.44</v>
      </c>
      <c r="G57" s="6" t="s">
        <v>88</v>
      </c>
      <c r="H57" s="5">
        <v>2559.38</v>
      </c>
      <c r="I57" s="5">
        <v>1714.72</v>
      </c>
      <c r="J57" s="5">
        <v>1186.44</v>
      </c>
    </row>
    <row r="58" spans="2:10" x14ac:dyDescent="0.25">
      <c r="B58" s="6" t="s">
        <v>56</v>
      </c>
      <c r="C58" s="5">
        <v>50.57</v>
      </c>
      <c r="D58" s="5">
        <v>62.31</v>
      </c>
      <c r="E58" s="5">
        <v>27.63</v>
      </c>
      <c r="G58" s="5" t="s">
        <v>89</v>
      </c>
      <c r="H58" s="5">
        <v>386.62</v>
      </c>
      <c r="I58" s="5">
        <v>167.75</v>
      </c>
      <c r="J58" s="5">
        <v>137.47999999999999</v>
      </c>
    </row>
    <row r="59" spans="2:10" x14ac:dyDescent="0.25">
      <c r="B59" s="6" t="s">
        <v>57</v>
      </c>
      <c r="C59" s="5">
        <v>9467.39</v>
      </c>
      <c r="D59" s="5">
        <v>43.94</v>
      </c>
      <c r="E59" s="5">
        <v>101.83</v>
      </c>
      <c r="G59" s="5" t="s">
        <v>90</v>
      </c>
      <c r="H59" s="5">
        <v>1.47</v>
      </c>
      <c r="I59" s="5">
        <v>1.47</v>
      </c>
      <c r="J59" s="5">
        <v>1.47</v>
      </c>
    </row>
    <row r="60" spans="2:10" ht="27.6" x14ac:dyDescent="0.25">
      <c r="B60" s="5" t="s">
        <v>66</v>
      </c>
      <c r="C60" s="5">
        <v>52.5</v>
      </c>
      <c r="D60" s="5">
        <v>0</v>
      </c>
      <c r="E60" s="5">
        <v>0</v>
      </c>
      <c r="G60" s="7" t="s">
        <v>91</v>
      </c>
      <c r="H60" s="5">
        <v>315.17</v>
      </c>
      <c r="I60" s="5">
        <v>1194.98</v>
      </c>
      <c r="J60" s="5">
        <v>800</v>
      </c>
    </row>
    <row r="61" spans="2:10" x14ac:dyDescent="0.25">
      <c r="B61" s="5" t="s">
        <v>67</v>
      </c>
      <c r="C61" s="5">
        <v>3407.18</v>
      </c>
      <c r="D61" s="5">
        <v>2203.61</v>
      </c>
      <c r="E61" s="5">
        <v>1960.33</v>
      </c>
      <c r="G61" s="5" t="s">
        <v>92</v>
      </c>
      <c r="H61" s="5">
        <v>1756.15</v>
      </c>
      <c r="I61" s="5">
        <v>937.88</v>
      </c>
      <c r="J61" s="5">
        <v>1207.1400000000001</v>
      </c>
    </row>
    <row r="62" spans="2:10" x14ac:dyDescent="0.25">
      <c r="B62" s="4" t="s">
        <v>68</v>
      </c>
      <c r="C62" s="4">
        <f>+SUM(C51:C61)</f>
        <v>75920.849999999991</v>
      </c>
      <c r="D62" s="4">
        <f>+SUM(D51:D61)</f>
        <v>51462.979999999996</v>
      </c>
      <c r="E62" s="4">
        <f>+SUM(E51:E61)</f>
        <v>46371.82</v>
      </c>
      <c r="G62" s="5" t="s">
        <v>93</v>
      </c>
      <c r="H62" s="4">
        <f>SUM(H52:H61)</f>
        <v>35226.070000000007</v>
      </c>
      <c r="I62" s="4">
        <f>SUM(I52:I61)</f>
        <v>30018.83</v>
      </c>
      <c r="J62" s="4">
        <f>SUM(J52:J61)</f>
        <v>25385.66</v>
      </c>
    </row>
    <row r="63" spans="2:10" x14ac:dyDescent="0.25">
      <c r="B63" s="4" t="s">
        <v>69</v>
      </c>
      <c r="C63" s="4">
        <f>+C62+C48</f>
        <v>111401.62</v>
      </c>
      <c r="D63" s="4">
        <f t="shared" ref="D63:E63" si="62">+D62+D48</f>
        <v>75500.81</v>
      </c>
      <c r="E63" s="4">
        <f t="shared" si="62"/>
        <v>67502.570000000007</v>
      </c>
      <c r="G63" s="4" t="s">
        <v>94</v>
      </c>
      <c r="H63" s="4">
        <f>+H62+H48+H38</f>
        <v>111401.62</v>
      </c>
      <c r="I63" s="4">
        <f>+I62+I48+I38</f>
        <v>75500.81</v>
      </c>
      <c r="J63" s="4">
        <f>+J62+J48+J38</f>
        <v>67502.569999999992</v>
      </c>
    </row>
    <row r="64" spans="2:10" x14ac:dyDescent="0.25">
      <c r="C64" s="3">
        <f>+H63-C63</f>
        <v>0</v>
      </c>
      <c r="D64" s="3">
        <f>+I63-D63</f>
        <v>0</v>
      </c>
      <c r="E64" s="3">
        <f>+J63-E63</f>
        <v>0</v>
      </c>
    </row>
    <row r="65" spans="2:5" x14ac:dyDescent="0.25">
      <c r="B65" s="4" t="s">
        <v>111</v>
      </c>
    </row>
    <row r="66" spans="2:5" x14ac:dyDescent="0.25">
      <c r="B66" s="4" t="s">
        <v>95</v>
      </c>
      <c r="C66" s="74"/>
      <c r="D66" s="75"/>
      <c r="E66" s="76"/>
    </row>
    <row r="67" spans="2:5" x14ac:dyDescent="0.25">
      <c r="B67" s="5" t="s">
        <v>96</v>
      </c>
      <c r="C67" s="5">
        <f>+C8-C11-C12-C13-C15-C16</f>
        <v>14512.299999999967</v>
      </c>
      <c r="D67" s="5">
        <f>+D8-D11-D12-D13-D15-D16</f>
        <v>11805.120000000003</v>
      </c>
      <c r="E67" s="5">
        <f>+E8-E11-E12-E13-E15-E16</f>
        <v>11154.890000000018</v>
      </c>
    </row>
    <row r="68" spans="2:5" x14ac:dyDescent="0.25">
      <c r="B68" s="5" t="s">
        <v>97</v>
      </c>
      <c r="C68" s="5">
        <f>+H38+H43+H44+H54+H55</f>
        <v>77129.87999999999</v>
      </c>
      <c r="D68" s="5">
        <f>+I38+I43+I44+I54+I55</f>
        <v>45801.55</v>
      </c>
      <c r="E68" s="5">
        <f>+J38+J43+J44+J54+J55</f>
        <v>41700.709999999985</v>
      </c>
    </row>
    <row r="69" spans="2:5" x14ac:dyDescent="0.25">
      <c r="B69" s="4" t="s">
        <v>98</v>
      </c>
      <c r="C69" s="10">
        <f>+C67/C68</f>
        <v>0.18815405910134916</v>
      </c>
      <c r="D69" s="10">
        <f t="shared" ref="D69:E69" si="63">+D67/D68</f>
        <v>0.25774498897963066</v>
      </c>
      <c r="E69" s="10">
        <f t="shared" si="63"/>
        <v>0.26749880277817861</v>
      </c>
    </row>
    <row r="71" spans="2:5" x14ac:dyDescent="0.25">
      <c r="B71" s="4" t="s">
        <v>99</v>
      </c>
      <c r="C71" s="74"/>
      <c r="D71" s="75"/>
      <c r="E71" s="76"/>
    </row>
    <row r="72" spans="2:5" x14ac:dyDescent="0.25">
      <c r="B72" s="5" t="s">
        <v>100</v>
      </c>
      <c r="C72" s="5">
        <f>+C22</f>
        <v>10782.909999999974</v>
      </c>
      <c r="D72" s="5">
        <f>+D22</f>
        <v>8626.1999999999916</v>
      </c>
      <c r="E72" s="5">
        <f>+E22</f>
        <v>8146.2400000000189</v>
      </c>
    </row>
    <row r="73" spans="2:5" x14ac:dyDescent="0.25">
      <c r="B73" s="5" t="s">
        <v>101</v>
      </c>
      <c r="C73" s="5">
        <f>+H38</f>
        <v>75141.929999999993</v>
      </c>
      <c r="D73" s="5">
        <f>+I38</f>
        <v>44462.46</v>
      </c>
      <c r="E73" s="5">
        <f>+J38</f>
        <v>39927.899999999994</v>
      </c>
    </row>
    <row r="74" spans="2:5" x14ac:dyDescent="0.25">
      <c r="B74" s="4" t="s">
        <v>102</v>
      </c>
      <c r="C74" s="10">
        <f>+C72/C73</f>
        <v>0.14350057284927303</v>
      </c>
      <c r="D74" s="10">
        <f t="shared" ref="D74:E74" si="64">+D72/D73</f>
        <v>0.19401085769883158</v>
      </c>
      <c r="E74" s="10">
        <f t="shared" si="64"/>
        <v>0.20402375281444854</v>
      </c>
    </row>
    <row r="76" spans="2:5" x14ac:dyDescent="0.25">
      <c r="B76" s="4" t="s">
        <v>104</v>
      </c>
      <c r="C76" s="74"/>
      <c r="D76" s="75"/>
      <c r="E76" s="76"/>
    </row>
    <row r="77" spans="2:5" x14ac:dyDescent="0.25">
      <c r="B77" s="5" t="s">
        <v>100</v>
      </c>
      <c r="C77" s="5">
        <f>+C72</f>
        <v>10782.909999999974</v>
      </c>
      <c r="D77" s="5">
        <f>+D72</f>
        <v>8626.1999999999916</v>
      </c>
      <c r="E77" s="5">
        <f>+E72</f>
        <v>8146.2400000000189</v>
      </c>
    </row>
    <row r="78" spans="2:5" x14ac:dyDescent="0.25">
      <c r="B78" s="5" t="s">
        <v>105</v>
      </c>
      <c r="C78" s="5">
        <f>+C63</f>
        <v>111401.62</v>
      </c>
      <c r="D78" s="5">
        <f>+D63</f>
        <v>75500.81</v>
      </c>
      <c r="E78" s="5">
        <f>+E63</f>
        <v>67502.570000000007</v>
      </c>
    </row>
    <row r="79" spans="2:5" x14ac:dyDescent="0.25">
      <c r="B79" s="4" t="s">
        <v>103</v>
      </c>
      <c r="C79" s="10">
        <f>+C77/C78</f>
        <v>9.6793116653061007E-2</v>
      </c>
      <c r="D79" s="10">
        <f t="shared" ref="D79:E79" si="65">+D77/D78</f>
        <v>0.11425307887425303</v>
      </c>
      <c r="E79" s="10">
        <f t="shared" si="65"/>
        <v>0.12068044224094013</v>
      </c>
    </row>
    <row r="81" spans="2:5" x14ac:dyDescent="0.25">
      <c r="B81" s="4" t="s">
        <v>106</v>
      </c>
      <c r="C81" s="74"/>
      <c r="D81" s="75"/>
      <c r="E81" s="76"/>
    </row>
    <row r="82" spans="2:5" x14ac:dyDescent="0.25">
      <c r="B82" s="5" t="s">
        <v>107</v>
      </c>
      <c r="C82" s="5">
        <f>+C67*(1-C85)</f>
        <v>10966.069498195822</v>
      </c>
      <c r="D82" s="5">
        <f>+D67*(1-D85)</f>
        <v>8787.1585644169227</v>
      </c>
      <c r="E82" s="5">
        <f>+E67*(1-E85)</f>
        <v>8340.3542191795332</v>
      </c>
    </row>
    <row r="83" spans="2:5" x14ac:dyDescent="0.25">
      <c r="B83" s="5" t="s">
        <v>108</v>
      </c>
      <c r="C83" s="5">
        <f>+H38+H43+H44+H54+H55+H56-C56-C57</f>
        <v>69317.399999999994</v>
      </c>
      <c r="D83" s="5">
        <f>+I38+I43+I44+I54+I55+I56-D56-D57</f>
        <v>45289.590000000004</v>
      </c>
      <c r="E83" s="5">
        <f>+J38+J43+J44+J54+J55+J56-E56-E57</f>
        <v>40145.959999999985</v>
      </c>
    </row>
    <row r="84" spans="2:5" x14ac:dyDescent="0.25">
      <c r="B84" s="4" t="s">
        <v>109</v>
      </c>
      <c r="C84" s="10">
        <f>+C82/C83</f>
        <v>0.15820081968157812</v>
      </c>
      <c r="D84" s="10">
        <f t="shared" ref="D84:E84" si="66">+D82/D83</f>
        <v>0.19402159667192664</v>
      </c>
      <c r="E84" s="10">
        <f t="shared" si="66"/>
        <v>0.20775077290914296</v>
      </c>
    </row>
    <row r="85" spans="2:5" x14ac:dyDescent="0.25">
      <c r="B85" s="5" t="s">
        <v>110</v>
      </c>
      <c r="C85" s="9">
        <f>+(C20+C21)/C19</f>
        <v>0.24436033583953973</v>
      </c>
      <c r="D85" s="9">
        <f>+(D20+D21)/D19</f>
        <v>0.25564851823472179</v>
      </c>
      <c r="E85" s="9">
        <f>+(E20+E21)/E19</f>
        <v>0.25231407757678287</v>
      </c>
    </row>
  </sheetData>
  <mergeCells count="21">
    <mergeCell ref="AA10:AD10"/>
    <mergeCell ref="V10:Y10"/>
    <mergeCell ref="Q10:T10"/>
    <mergeCell ref="C81:E81"/>
    <mergeCell ref="C76:E76"/>
    <mergeCell ref="C71:E71"/>
    <mergeCell ref="C66:E66"/>
    <mergeCell ref="C10:E10"/>
    <mergeCell ref="G10:J10"/>
    <mergeCell ref="L10:O10"/>
    <mergeCell ref="Q3:T3"/>
    <mergeCell ref="Q4:T4"/>
    <mergeCell ref="V3:Y3"/>
    <mergeCell ref="V4:Y4"/>
    <mergeCell ref="AA3:AD3"/>
    <mergeCell ref="AA4:AD4"/>
    <mergeCell ref="C2:D2"/>
    <mergeCell ref="G3:J3"/>
    <mergeCell ref="G4:J4"/>
    <mergeCell ref="L3:O3"/>
    <mergeCell ref="L4:O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DFD63-4F1F-407C-83EA-BE8B3B6B4A73}">
  <dimension ref="B1:XFD52"/>
  <sheetViews>
    <sheetView topLeftCell="B1" workbookViewId="0">
      <selection activeCell="I22" sqref="I22"/>
    </sheetView>
  </sheetViews>
  <sheetFormatPr defaultRowHeight="13.8" x14ac:dyDescent="0.25"/>
  <cols>
    <col min="1" max="1" width="8.88671875" style="3"/>
    <col min="2" max="2" width="41.88671875" style="3" bestFit="1" customWidth="1"/>
    <col min="3" max="3" width="11.88671875" style="3" bestFit="1" customWidth="1"/>
    <col min="4" max="5" width="11.21875" style="3" bestFit="1" customWidth="1"/>
    <col min="6" max="6" width="10.109375" style="3" bestFit="1" customWidth="1"/>
    <col min="7" max="7" width="21.33203125" style="3" customWidth="1"/>
    <col min="8" max="8" width="9.6640625" style="3" bestFit="1" customWidth="1"/>
    <col min="9" max="9" width="18.77734375" style="3" customWidth="1"/>
    <col min="10" max="10" width="12.6640625" style="3" customWidth="1"/>
    <col min="11" max="11" width="19.21875" style="3" bestFit="1" customWidth="1"/>
    <col min="12" max="12" width="12.33203125" style="3" bestFit="1" customWidth="1"/>
    <col min="13" max="13" width="10.109375" style="3" bestFit="1" customWidth="1"/>
    <col min="14" max="16384" width="8.88671875" style="3"/>
  </cols>
  <sheetData>
    <row r="1" spans="2:13" ht="14.4" x14ac:dyDescent="0.3">
      <c r="C1"/>
      <c r="D1"/>
    </row>
    <row r="2" spans="2:13" ht="13.8" customHeight="1" x14ac:dyDescent="0.3">
      <c r="B2" s="77" t="s">
        <v>119</v>
      </c>
      <c r="C2"/>
      <c r="D2"/>
      <c r="K2" s="43" t="s">
        <v>173</v>
      </c>
    </row>
    <row r="3" spans="2:13" ht="13.8" customHeight="1" x14ac:dyDescent="0.3">
      <c r="B3" s="78"/>
      <c r="C3"/>
      <c r="D3"/>
      <c r="G3" s="79" t="s">
        <v>196</v>
      </c>
      <c r="H3" s="80"/>
      <c r="I3" s="80"/>
      <c r="J3" s="81"/>
      <c r="K3" s="84" t="s">
        <v>245</v>
      </c>
      <c r="L3" s="85"/>
      <c r="M3" s="86"/>
    </row>
    <row r="4" spans="2:13" x14ac:dyDescent="0.25">
      <c r="G4" s="15" t="s">
        <v>170</v>
      </c>
      <c r="H4" s="17">
        <f>+I49</f>
        <v>9.1999999999999998E-2</v>
      </c>
      <c r="K4" s="87"/>
      <c r="L4" s="88"/>
      <c r="M4" s="89"/>
    </row>
    <row r="5" spans="2:13" x14ac:dyDescent="0.25">
      <c r="B5" s="5" t="s">
        <v>126</v>
      </c>
      <c r="C5" s="4" t="s">
        <v>12</v>
      </c>
      <c r="D5" s="4" t="s">
        <v>13</v>
      </c>
      <c r="E5" s="4" t="s">
        <v>14</v>
      </c>
    </row>
    <row r="6" spans="2:13" ht="27.6" x14ac:dyDescent="0.25">
      <c r="B6" s="5" t="s">
        <v>100</v>
      </c>
      <c r="C6" s="5">
        <v>14269.92</v>
      </c>
      <c r="D6" s="5">
        <v>11588.88</v>
      </c>
      <c r="E6" s="5">
        <v>10895.27</v>
      </c>
      <c r="G6" s="4" t="s">
        <v>180</v>
      </c>
      <c r="H6" s="4" t="s">
        <v>193</v>
      </c>
      <c r="I6" s="4" t="s">
        <v>184</v>
      </c>
      <c r="J6" s="12" t="s">
        <v>185</v>
      </c>
      <c r="K6" s="4" t="s">
        <v>179</v>
      </c>
    </row>
    <row r="7" spans="2:13" x14ac:dyDescent="0.25">
      <c r="B7" s="5" t="s">
        <v>120</v>
      </c>
      <c r="C7" s="5">
        <f>1177.06-12.19+81.49-42.81-36.16+266.53+781.27-1773.51-33.5-1.47-2.04+151.55</f>
        <v>556.21999999999957</v>
      </c>
      <c r="D7" s="5">
        <f>797.65+122.65+6.1-79.13-12.83-35.39-1.47-982.8+228.42-22.68+80.55</f>
        <v>101.06999999999996</v>
      </c>
      <c r="E7" s="5">
        <f>729.62+258.37-50.7-10.88-6.19-1.03-1.47-574.12-448.68+42.35+120.63</f>
        <v>57.899999999999899</v>
      </c>
      <c r="G7" s="5">
        <v>0</v>
      </c>
      <c r="H7" s="5" t="s">
        <v>12</v>
      </c>
      <c r="I7" s="5">
        <f>+C47</f>
        <v>2830.1007605974264</v>
      </c>
      <c r="J7" s="5">
        <v>0</v>
      </c>
      <c r="K7" s="5">
        <v>0</v>
      </c>
    </row>
    <row r="8" spans="2:13" x14ac:dyDescent="0.25">
      <c r="B8" s="5" t="s">
        <v>121</v>
      </c>
      <c r="C8" s="5">
        <f>+C6+C7</f>
        <v>14826.14</v>
      </c>
      <c r="D8" s="5">
        <f>+D6+D7</f>
        <v>11689.949999999999</v>
      </c>
      <c r="E8" s="5">
        <f>+E6+E7</f>
        <v>10953.17</v>
      </c>
      <c r="G8" s="21">
        <v>1</v>
      </c>
      <c r="H8" s="5" t="s">
        <v>174</v>
      </c>
      <c r="I8" s="5">
        <f>+I7*(1+'Growth and Assumptions'!$C$15)</f>
        <v>3113.1108366571693</v>
      </c>
      <c r="J8" s="5">
        <f t="shared" ref="J8:J17" si="0">+I8/(1+9.02%)^G8</f>
        <v>2855.5410352753343</v>
      </c>
      <c r="K8" s="5">
        <f t="shared" ref="K8:K12" si="1">1/(1+$H$4)^G8</f>
        <v>0.91575091575091572</v>
      </c>
    </row>
    <row r="9" spans="2:13" x14ac:dyDescent="0.25">
      <c r="B9" s="5" t="s">
        <v>122</v>
      </c>
      <c r="C9" s="5">
        <f>-729.12-1291.21+768.56+5569.04-5873.45-1888.67-2583.53-133.36</f>
        <v>-6161.7399999999989</v>
      </c>
      <c r="D9" s="5">
        <f>-359.15+2990.42+310.21+766.87-2230.28-986.76-970.51-24.73</f>
        <v>-503.93000000000029</v>
      </c>
      <c r="E9" s="5">
        <f>-524.86+2497.71+92.08+1852.04-8194.65-284.82-1318.28+33.98</f>
        <v>-5846.8</v>
      </c>
      <c r="G9" s="21">
        <f t="shared" ref="G9:G12" si="2">+G8+1</f>
        <v>2</v>
      </c>
      <c r="H9" s="5" t="s">
        <v>175</v>
      </c>
      <c r="I9" s="5">
        <f>+I8*(1+'Growth and Assumptions'!$D$15)</f>
        <v>3424.4219203228868</v>
      </c>
      <c r="J9" s="5">
        <f t="shared" si="0"/>
        <v>2881.2099970673894</v>
      </c>
      <c r="K9" s="5">
        <f t="shared" si="1"/>
        <v>0.83859973969864066</v>
      </c>
    </row>
    <row r="10" spans="2:13" x14ac:dyDescent="0.25">
      <c r="B10" s="5" t="s">
        <v>123</v>
      </c>
      <c r="C10" s="5">
        <f>+C8+C9</f>
        <v>8664.4000000000015</v>
      </c>
      <c r="D10" s="5">
        <f>+D8+D9</f>
        <v>11186.019999999999</v>
      </c>
      <c r="E10" s="5">
        <f>+E8+E9</f>
        <v>5106.37</v>
      </c>
      <c r="G10" s="21">
        <f t="shared" si="2"/>
        <v>3</v>
      </c>
      <c r="H10" s="5" t="s">
        <v>176</v>
      </c>
      <c r="I10" s="5">
        <f>+I9*(1+'Growth and Assumptions'!E15)</f>
        <v>3766.8641123551756</v>
      </c>
      <c r="J10" s="5">
        <f t="shared" si="0"/>
        <v>2907.1097016823778</v>
      </c>
      <c r="K10" s="5">
        <f t="shared" si="1"/>
        <v>0.76794847957750967</v>
      </c>
    </row>
    <row r="11" spans="2:13" x14ac:dyDescent="0.25">
      <c r="B11" s="5" t="s">
        <v>124</v>
      </c>
      <c r="C11" s="5">
        <v>3308.51</v>
      </c>
      <c r="D11" s="5">
        <v>3033.73</v>
      </c>
      <c r="E11" s="5">
        <v>1977.78</v>
      </c>
      <c r="G11" s="21">
        <f t="shared" si="2"/>
        <v>4</v>
      </c>
      <c r="H11" s="5" t="s">
        <v>177</v>
      </c>
      <c r="I11" s="5">
        <f>+I10*(1+'Growth and Assumptions'!F15)</f>
        <v>4143.550523590694</v>
      </c>
      <c r="J11" s="5">
        <f t="shared" si="0"/>
        <v>2933.2422233082157</v>
      </c>
      <c r="K11" s="5">
        <f t="shared" si="1"/>
        <v>0.70324952342262792</v>
      </c>
    </row>
    <row r="12" spans="2:13" x14ac:dyDescent="0.25">
      <c r="B12" s="4" t="s">
        <v>125</v>
      </c>
      <c r="C12" s="4">
        <f>+C10-C11</f>
        <v>5355.8900000000012</v>
      </c>
      <c r="D12" s="4">
        <f>+D10-D11</f>
        <v>8152.2899999999991</v>
      </c>
      <c r="E12" s="4">
        <f>+E10-E11</f>
        <v>3128.59</v>
      </c>
      <c r="G12" s="21">
        <f t="shared" si="2"/>
        <v>5</v>
      </c>
      <c r="H12" s="5" t="s">
        <v>178</v>
      </c>
      <c r="I12" s="5">
        <f>+I11*(1+'Growth and Assumptions'!G15)</f>
        <v>4557.9055759497642</v>
      </c>
      <c r="J12" s="5">
        <f t="shared" si="0"/>
        <v>2959.6096547780567</v>
      </c>
      <c r="K12" s="5">
        <f t="shared" si="1"/>
        <v>0.64400139507566645</v>
      </c>
    </row>
    <row r="13" spans="2:13" x14ac:dyDescent="0.25">
      <c r="B13" s="20"/>
      <c r="C13" s="20"/>
      <c r="D13" s="20"/>
      <c r="E13" s="20"/>
      <c r="G13" s="21">
        <f>+G12+1</f>
        <v>6</v>
      </c>
      <c r="H13" s="5" t="s">
        <v>188</v>
      </c>
      <c r="I13" s="5">
        <f>+I12*(1+'Growth and Assumptions'!H15)</f>
        <v>4876.9589662662484</v>
      </c>
      <c r="J13" s="5">
        <f t="shared" si="0"/>
        <v>2904.7719047995975</v>
      </c>
      <c r="K13" s="5">
        <f>1/(1+$H$4)^G13</f>
        <v>0.58974486728540887</v>
      </c>
    </row>
    <row r="14" spans="2:13" x14ac:dyDescent="0.25">
      <c r="B14" s="5" t="s">
        <v>127</v>
      </c>
      <c r="C14" s="74"/>
      <c r="D14" s="75"/>
      <c r="E14" s="76"/>
      <c r="G14" s="21">
        <f>+G13+1</f>
        <v>7</v>
      </c>
      <c r="H14" s="5" t="s">
        <v>189</v>
      </c>
      <c r="I14" s="5">
        <f>+I13*(1+'Growth and Assumptions'!I15)</f>
        <v>5218.3460939048864</v>
      </c>
      <c r="J14" s="5">
        <f t="shared" si="0"/>
        <v>2850.9502276055491</v>
      </c>
      <c r="K14" s="5">
        <f>1/(1+$H$4)^G14</f>
        <v>0.54005940227601534</v>
      </c>
    </row>
    <row r="15" spans="2:13" x14ac:dyDescent="0.25">
      <c r="B15" s="5" t="s">
        <v>128</v>
      </c>
      <c r="C15" s="5">
        <v>-6591.73</v>
      </c>
      <c r="D15" s="5">
        <v>-1838.66</v>
      </c>
      <c r="E15" s="5">
        <v>-1364.75</v>
      </c>
      <c r="G15" s="21">
        <f>+G14+1</f>
        <v>8</v>
      </c>
      <c r="H15" s="5" t="s">
        <v>190</v>
      </c>
      <c r="I15" s="5">
        <f>+I14*(1+'Growth and Assumptions'!J15)</f>
        <v>5583.6303204782289</v>
      </c>
      <c r="J15" s="5">
        <f t="shared" si="0"/>
        <v>2798.125796677617</v>
      </c>
      <c r="K15" s="5">
        <f>1/(1+$H$4)^G15</f>
        <v>0.49455989219415319</v>
      </c>
    </row>
    <row r="16" spans="2:13" ht="14.4" customHeight="1" x14ac:dyDescent="0.25">
      <c r="B16" s="5" t="s">
        <v>129</v>
      </c>
      <c r="C16" s="5">
        <v>-1017.6</v>
      </c>
      <c r="D16" s="5">
        <v>-680.08</v>
      </c>
      <c r="E16" s="5">
        <v>0</v>
      </c>
      <c r="G16" s="21">
        <f>+G15+1</f>
        <v>9</v>
      </c>
      <c r="H16" s="5" t="s">
        <v>191</v>
      </c>
      <c r="I16" s="5">
        <f>+I15*(1+'Growth and Assumptions'!K15)</f>
        <v>5862.811836502141</v>
      </c>
      <c r="J16" s="5">
        <f t="shared" si="0"/>
        <v>2694.9477953691967</v>
      </c>
      <c r="K16" s="5">
        <f>1/(1+$H$4)^G16</f>
        <v>0.45289367417046988</v>
      </c>
    </row>
    <row r="17" spans="2:12" ht="27.6" x14ac:dyDescent="0.25">
      <c r="B17" s="7" t="s">
        <v>130</v>
      </c>
      <c r="C17" s="5">
        <f>31.58+125.58+15409.74+1610.74</f>
        <v>17177.64</v>
      </c>
      <c r="D17" s="5">
        <f>32.99+99.73+3378.31+963.09</f>
        <v>4474.12</v>
      </c>
      <c r="E17" s="5">
        <f>26.62+23.4+64.45+3423.63+552.6</f>
        <v>4090.7</v>
      </c>
      <c r="G17" s="21">
        <f>+G16+1</f>
        <v>10</v>
      </c>
      <c r="H17" s="5" t="s">
        <v>192</v>
      </c>
      <c r="I17" s="5">
        <f>+I16*(1+'Growth and Assumptions'!L15)</f>
        <v>6155.9524283272485</v>
      </c>
      <c r="J17" s="5">
        <f t="shared" si="0"/>
        <v>2595.5743763875039</v>
      </c>
      <c r="K17" s="5">
        <f>1/(1+$H$4)^G17</f>
        <v>0.41473779685940465</v>
      </c>
    </row>
    <row r="18" spans="2:12" ht="27.6" x14ac:dyDescent="0.25">
      <c r="B18" s="7" t="s">
        <v>131</v>
      </c>
      <c r="C18" s="5">
        <f>-3520.2-124.4-28229.83</f>
        <v>-31874.43</v>
      </c>
      <c r="D18" s="5">
        <f>-179.56-5051.63</f>
        <v>-5231.1900000000005</v>
      </c>
      <c r="E18" s="5">
        <f>-500-58.42-4066.41</f>
        <v>-4624.83</v>
      </c>
      <c r="G18" s="79" t="s">
        <v>181</v>
      </c>
      <c r="H18" s="81"/>
      <c r="I18" s="5">
        <f>+L47</f>
        <v>42412.127588183066</v>
      </c>
    </row>
    <row r="19" spans="2:12" x14ac:dyDescent="0.25">
      <c r="B19" s="4" t="s">
        <v>132</v>
      </c>
      <c r="C19" s="4">
        <f>+C15+C16+C17+C18</f>
        <v>-22306.120000000003</v>
      </c>
      <c r="D19" s="4">
        <f>+D15+D16+D17+D18</f>
        <v>-3275.8100000000009</v>
      </c>
      <c r="E19" s="4">
        <f>+E15+E16+E17+E18</f>
        <v>-1898.88</v>
      </c>
    </row>
    <row r="20" spans="2:12" ht="27.6" customHeight="1" x14ac:dyDescent="0.25">
      <c r="G20" s="82" t="s">
        <v>182</v>
      </c>
      <c r="H20" s="83"/>
      <c r="I20" s="14">
        <f>+SUM(J8:J17)+I18</f>
        <v>70793.210301133906</v>
      </c>
    </row>
    <row r="21" spans="2:12" x14ac:dyDescent="0.25">
      <c r="B21" s="5" t="s">
        <v>133</v>
      </c>
      <c r="C21" s="74"/>
      <c r="D21" s="75"/>
      <c r="E21" s="76"/>
      <c r="G21" s="82"/>
      <c r="H21" s="83"/>
      <c r="I21" s="15"/>
    </row>
    <row r="22" spans="2:12" ht="27.6" customHeight="1" x14ac:dyDescent="0.25">
      <c r="B22" s="5" t="s">
        <v>134</v>
      </c>
      <c r="C22" s="5">
        <v>0</v>
      </c>
      <c r="D22" s="5">
        <v>-3900</v>
      </c>
      <c r="E22" s="5">
        <v>0</v>
      </c>
      <c r="G22" s="82" t="s">
        <v>3</v>
      </c>
      <c r="H22" s="83"/>
      <c r="I22" s="5">
        <f>+'Financial Statements'!C25</f>
        <v>160.26917360285336</v>
      </c>
    </row>
    <row r="23" spans="2:12" x14ac:dyDescent="0.25">
      <c r="B23" s="5" t="s">
        <v>135</v>
      </c>
      <c r="C23" s="5">
        <f>18680.65-46.47+745.83-100.24-26.87-44.52</f>
        <v>19208.38</v>
      </c>
      <c r="D23" s="5">
        <f>-428.13-59.7-58.44-25.45-56.96-56.45</f>
        <v>-685.13000000000011</v>
      </c>
      <c r="E23" s="5">
        <f>77.11-49.22+774.36-62.74-61.84-51.54</f>
        <v>626.13</v>
      </c>
      <c r="G23" s="74" t="s">
        <v>183</v>
      </c>
      <c r="H23" s="76"/>
      <c r="I23" s="5">
        <f>+I20/I22</f>
        <v>441.71445269044261</v>
      </c>
    </row>
    <row r="24" spans="2:12" ht="27.6" x14ac:dyDescent="0.25">
      <c r="B24" s="12" t="s">
        <v>136</v>
      </c>
      <c r="C24" s="5">
        <f>+C22+C23</f>
        <v>19208.38</v>
      </c>
      <c r="D24" s="5">
        <f>+D22+D23</f>
        <v>-4585.13</v>
      </c>
      <c r="E24" s="5">
        <f>+E22+E23</f>
        <v>626.13</v>
      </c>
      <c r="G24" s="74" t="s">
        <v>186</v>
      </c>
      <c r="H24" s="76"/>
      <c r="I24" s="5">
        <f>+Dashboard!D5</f>
        <v>2326</v>
      </c>
    </row>
    <row r="25" spans="2:12" x14ac:dyDescent="0.25">
      <c r="G25" s="74" t="s">
        <v>187</v>
      </c>
      <c r="H25" s="76"/>
      <c r="I25" s="10">
        <f>+(I23-I24)/I24</f>
        <v>-0.81009696788888963</v>
      </c>
    </row>
    <row r="26" spans="2:12" x14ac:dyDescent="0.25">
      <c r="B26" s="4" t="s">
        <v>137</v>
      </c>
      <c r="C26" s="5">
        <f>+C12+C19+C24</f>
        <v>2258.1499999999978</v>
      </c>
      <c r="D26" s="5">
        <f>+D12+D19+D24</f>
        <v>291.34999999999764</v>
      </c>
      <c r="E26" s="5">
        <f>+E12+E19+E24</f>
        <v>1855.8400000000001</v>
      </c>
    </row>
    <row r="27" spans="2:12" x14ac:dyDescent="0.25">
      <c r="B27" s="5" t="s">
        <v>138</v>
      </c>
      <c r="C27" s="5">
        <v>6214.11</v>
      </c>
      <c r="D27" s="5">
        <v>5866.32</v>
      </c>
      <c r="E27" s="5">
        <v>4010.48</v>
      </c>
    </row>
    <row r="28" spans="2:12" x14ac:dyDescent="0.25">
      <c r="B28" s="5" t="s">
        <v>139</v>
      </c>
      <c r="C28" s="5">
        <f>+C26+C27</f>
        <v>8472.2599999999984</v>
      </c>
      <c r="D28" s="5">
        <f>+D26+D27</f>
        <v>6157.6699999999973</v>
      </c>
      <c r="E28" s="5">
        <f>+E26+E27</f>
        <v>5866.32</v>
      </c>
    </row>
    <row r="29" spans="2:12" ht="28.2" x14ac:dyDescent="0.3">
      <c r="B29" s="12" t="s">
        <v>140</v>
      </c>
      <c r="C29" s="13">
        <f>+C12+C15</f>
        <v>-1235.8399999999983</v>
      </c>
      <c r="D29" s="13">
        <f>+D12+D15</f>
        <v>6313.6299999999992</v>
      </c>
      <c r="E29" s="13">
        <f>+E12+E15</f>
        <v>1763.8400000000001</v>
      </c>
      <c r="F29" s="13">
        <f>+AVERAGE(C29:E29)</f>
        <v>2280.5433333333335</v>
      </c>
      <c r="J29"/>
    </row>
    <row r="30" spans="2:12" ht="14.4" x14ac:dyDescent="0.3">
      <c r="J30"/>
    </row>
    <row r="31" spans="2:12" ht="14.4" x14ac:dyDescent="0.3">
      <c r="B31" s="4" t="s">
        <v>141</v>
      </c>
      <c r="G31" s="79" t="s">
        <v>152</v>
      </c>
      <c r="H31" s="80"/>
      <c r="I31" s="81"/>
      <c r="J31"/>
      <c r="K31" s="3" t="s">
        <v>171</v>
      </c>
      <c r="L31" s="3" t="s">
        <v>172</v>
      </c>
    </row>
    <row r="32" spans="2:12" ht="14.4" x14ac:dyDescent="0.3">
      <c r="J32"/>
    </row>
    <row r="33" spans="2:12 16384:16384" x14ac:dyDescent="0.25">
      <c r="B33" s="4" t="s">
        <v>142</v>
      </c>
    </row>
    <row r="34" spans="2:12 16384:16384" x14ac:dyDescent="0.25">
      <c r="B34" s="5" t="s">
        <v>96</v>
      </c>
      <c r="C34" s="5">
        <f>+'Financial Statements'!C67</f>
        <v>14512.299999999967</v>
      </c>
      <c r="D34" s="5">
        <f>+'Financial Statements'!D67</f>
        <v>11805.120000000003</v>
      </c>
      <c r="E34" s="5">
        <f>+'Financial Statements'!E67</f>
        <v>11154.890000000018</v>
      </c>
    </row>
    <row r="35" spans="2:12 16384:16384" x14ac:dyDescent="0.25">
      <c r="B35" s="5" t="s">
        <v>110</v>
      </c>
      <c r="C35" s="9">
        <f>+'Financial Statements'!C85</f>
        <v>0.24436033583953973</v>
      </c>
      <c r="D35" s="9">
        <f>+'Financial Statements'!D85</f>
        <v>0.25564851823472179</v>
      </c>
      <c r="E35" s="9">
        <f>+'Financial Statements'!E85</f>
        <v>0.25231407757678287</v>
      </c>
    </row>
    <row r="36" spans="2:12 16384:16384" ht="14.4" x14ac:dyDescent="0.3">
      <c r="B36" s="5" t="s">
        <v>143</v>
      </c>
      <c r="C36" s="5">
        <f>+'Financial Statements'!C15</f>
        <v>1177.06</v>
      </c>
      <c r="D36" s="5">
        <f>+'Financial Statements'!D15</f>
        <v>797.65</v>
      </c>
      <c r="E36" s="5">
        <f>+'Financial Statements'!E15</f>
        <v>729.62</v>
      </c>
      <c r="G36" s="5" t="s">
        <v>153</v>
      </c>
      <c r="H36" s="16" t="s">
        <v>157</v>
      </c>
      <c r="I36" s="14" t="s">
        <v>154</v>
      </c>
      <c r="J36"/>
    </row>
    <row r="37" spans="2:12 16384:16384" x14ac:dyDescent="0.25">
      <c r="B37" s="5" t="s">
        <v>144</v>
      </c>
      <c r="C37" s="5">
        <f>+C15</f>
        <v>-6591.73</v>
      </c>
      <c r="D37" s="5">
        <f>+D15</f>
        <v>-1838.66</v>
      </c>
      <c r="E37" s="5">
        <f>+E15</f>
        <v>-1364.75</v>
      </c>
      <c r="G37" s="5" t="s">
        <v>155</v>
      </c>
      <c r="H37" s="16" t="s">
        <v>157</v>
      </c>
      <c r="I37" s="15" t="s">
        <v>156</v>
      </c>
    </row>
    <row r="38" spans="2:12 16384:16384" x14ac:dyDescent="0.25">
      <c r="B38" s="5" t="s">
        <v>145</v>
      </c>
      <c r="C38" s="5">
        <f>+C9</f>
        <v>-6161.7399999999989</v>
      </c>
      <c r="D38" s="5">
        <f>+D9</f>
        <v>-503.93000000000029</v>
      </c>
      <c r="E38" s="5">
        <f>+E9</f>
        <v>-5846.8</v>
      </c>
    </row>
    <row r="39" spans="2:12 16384:16384" x14ac:dyDescent="0.25">
      <c r="G39" s="3" t="s">
        <v>154</v>
      </c>
      <c r="H39" s="16" t="s">
        <v>157</v>
      </c>
      <c r="I39" s="70" t="s">
        <v>160</v>
      </c>
      <c r="J39" s="70"/>
      <c r="K39" s="3" t="s">
        <v>142</v>
      </c>
    </row>
    <row r="40" spans="2:12 16384:16384" x14ac:dyDescent="0.25">
      <c r="B40" s="4" t="s">
        <v>146</v>
      </c>
      <c r="K40" s="5" t="s">
        <v>170</v>
      </c>
      <c r="L40" s="9">
        <f>+I52</f>
        <v>9.200347593171225E-2</v>
      </c>
    </row>
    <row r="41" spans="2:12 16384:16384" x14ac:dyDescent="0.25">
      <c r="B41" s="5" t="s">
        <v>96</v>
      </c>
      <c r="C41" s="5">
        <f>+C34</f>
        <v>14512.299999999967</v>
      </c>
      <c r="D41" s="5">
        <f>+D34</f>
        <v>11805.120000000003</v>
      </c>
      <c r="E41" s="5">
        <f>+E34</f>
        <v>11154.890000000018</v>
      </c>
      <c r="G41" s="4" t="s">
        <v>161</v>
      </c>
      <c r="H41" s="5"/>
      <c r="I41" s="5"/>
      <c r="K41" s="5" t="s">
        <v>173</v>
      </c>
      <c r="L41" s="9">
        <v>0.03</v>
      </c>
      <c r="XFD41" s="5"/>
    </row>
    <row r="42" spans="2:12 16384:16384" x14ac:dyDescent="0.25">
      <c r="B42" s="5" t="s">
        <v>147</v>
      </c>
      <c r="C42" s="5">
        <f>+C41*-C35</f>
        <v>-3546.2305018041443</v>
      </c>
      <c r="D42" s="5">
        <f>+D41*-D35</f>
        <v>-3017.9614355830795</v>
      </c>
      <c r="E42" s="5">
        <f>+E41*-E35</f>
        <v>-2814.535780820484</v>
      </c>
      <c r="G42" s="5" t="s">
        <v>162</v>
      </c>
      <c r="H42" s="5"/>
      <c r="I42" s="5">
        <f>+'Financial Statements'!H38</f>
        <v>75141.929999999993</v>
      </c>
      <c r="K42" s="5" t="s">
        <v>181</v>
      </c>
      <c r="L42" s="5">
        <f>+I17*(1+L41)/(L40-L41)</f>
        <v>102262.50876903003</v>
      </c>
    </row>
    <row r="43" spans="2:12 16384:16384" x14ac:dyDescent="0.25">
      <c r="B43" s="5" t="s">
        <v>148</v>
      </c>
      <c r="C43" s="5">
        <f t="shared" ref="C43:E45" si="3">+C36</f>
        <v>1177.06</v>
      </c>
      <c r="D43" s="5">
        <f t="shared" si="3"/>
        <v>797.65</v>
      </c>
      <c r="E43" s="5">
        <f t="shared" si="3"/>
        <v>729.62</v>
      </c>
      <c r="G43" s="5" t="s">
        <v>163</v>
      </c>
      <c r="H43" s="5"/>
      <c r="I43" s="5">
        <f>+'Financial Statements'!H43+'Financial Statements'!H44+'Financial Statements'!H54+'Financial Statements'!H55</f>
        <v>1987.95</v>
      </c>
    </row>
    <row r="44" spans="2:12 16384:16384" ht="15.6" x14ac:dyDescent="0.4">
      <c r="B44" s="5" t="s">
        <v>144</v>
      </c>
      <c r="C44" s="5">
        <f t="shared" si="3"/>
        <v>-6591.73</v>
      </c>
      <c r="D44" s="5">
        <f t="shared" si="3"/>
        <v>-1838.66</v>
      </c>
      <c r="E44" s="5">
        <f t="shared" si="3"/>
        <v>-1364.75</v>
      </c>
      <c r="G44" s="5" t="s">
        <v>155</v>
      </c>
      <c r="H44" s="5"/>
      <c r="I44" s="9">
        <f>+J44*(1-C35)</f>
        <v>9.2134861639303803E-2</v>
      </c>
      <c r="J44" s="18">
        <f>+'Financial Statements'!C14/('Financial Statements'!H43+'Financial Statements'!H44+'Financial Statements'!H54+'Financial Statements'!H55)</f>
        <v>0.12192962599662971</v>
      </c>
      <c r="K44" s="8" t="s">
        <v>194</v>
      </c>
      <c r="L44" s="22">
        <f>+L42</f>
        <v>102262.50876903003</v>
      </c>
    </row>
    <row r="45" spans="2:12 16384:16384" x14ac:dyDescent="0.25">
      <c r="B45" s="5" t="s">
        <v>149</v>
      </c>
      <c r="C45" s="5">
        <f t="shared" si="3"/>
        <v>-6161.7399999999989</v>
      </c>
      <c r="D45" s="5">
        <f t="shared" si="3"/>
        <v>-503.93000000000029</v>
      </c>
      <c r="E45" s="5">
        <f t="shared" si="3"/>
        <v>-5846.8</v>
      </c>
      <c r="G45" s="5" t="s">
        <v>110</v>
      </c>
      <c r="H45" s="5"/>
      <c r="I45" s="9">
        <f>+C35</f>
        <v>0.24436033583953973</v>
      </c>
      <c r="L45" s="3" t="s">
        <v>195</v>
      </c>
    </row>
    <row r="46" spans="2:12 16384:16384" x14ac:dyDescent="0.25">
      <c r="B46" s="5" t="s">
        <v>150</v>
      </c>
      <c r="C46" s="5">
        <f>+SUM(C41:C45)</f>
        <v>-610.34050180417671</v>
      </c>
      <c r="D46" s="5">
        <f>+SUM(D41:D45)</f>
        <v>7242.2185644169222</v>
      </c>
      <c r="E46" s="5">
        <f>+SUM(E41:E45)</f>
        <v>1858.4242191795338</v>
      </c>
      <c r="G46" s="5" t="s">
        <v>164</v>
      </c>
      <c r="H46" s="5"/>
      <c r="I46" s="9">
        <v>0.03</v>
      </c>
    </row>
    <row r="47" spans="2:12 16384:16384" x14ac:dyDescent="0.25">
      <c r="B47" s="5" t="s">
        <v>151</v>
      </c>
      <c r="C47" s="4">
        <f>+AVERAGE(C46:E46)</f>
        <v>2830.1007605974264</v>
      </c>
      <c r="G47" s="5" t="s">
        <v>165</v>
      </c>
      <c r="H47" s="5"/>
      <c r="I47" s="5">
        <v>1.24</v>
      </c>
      <c r="L47" s="3">
        <f>L42/((1.092)^10)</f>
        <v>42412.127588183066</v>
      </c>
    </row>
    <row r="48" spans="2:12 16384:16384" x14ac:dyDescent="0.25">
      <c r="G48" s="5" t="s">
        <v>166</v>
      </c>
      <c r="H48" s="5"/>
      <c r="I48" s="9">
        <v>0.08</v>
      </c>
    </row>
    <row r="49" spans="7:9" x14ac:dyDescent="0.25">
      <c r="G49" s="4" t="s">
        <v>167</v>
      </c>
      <c r="H49" s="5"/>
      <c r="I49" s="9">
        <f>+I46+I47*(I48-I46)</f>
        <v>9.1999999999999998E-2</v>
      </c>
    </row>
    <row r="50" spans="7:9" x14ac:dyDescent="0.25">
      <c r="G50" s="5" t="s">
        <v>168</v>
      </c>
      <c r="H50" s="5"/>
      <c r="I50" s="9">
        <f>+I42/SUM(I42:I43)</f>
        <v>0.97422594200846679</v>
      </c>
    </row>
    <row r="51" spans="7:9" x14ac:dyDescent="0.25">
      <c r="G51" s="5" t="s">
        <v>169</v>
      </c>
      <c r="H51" s="5"/>
      <c r="I51" s="9">
        <f>+I43/SUM(I42:I43)</f>
        <v>2.5774057991533247E-2</v>
      </c>
    </row>
    <row r="52" spans="7:9" x14ac:dyDescent="0.25">
      <c r="G52" s="4" t="s">
        <v>170</v>
      </c>
      <c r="H52" s="5"/>
      <c r="I52" s="10">
        <f>+I50*I49+I51*I44</f>
        <v>9.200347593171225E-2</v>
      </c>
    </row>
  </sheetData>
  <mergeCells count="14">
    <mergeCell ref="K3:M4"/>
    <mergeCell ref="I39:J39"/>
    <mergeCell ref="G22:H22"/>
    <mergeCell ref="G23:H23"/>
    <mergeCell ref="G24:H24"/>
    <mergeCell ref="G25:H25"/>
    <mergeCell ref="G18:H18"/>
    <mergeCell ref="B2:B3"/>
    <mergeCell ref="C14:E14"/>
    <mergeCell ref="C21:E21"/>
    <mergeCell ref="G31:I31"/>
    <mergeCell ref="G20:H20"/>
    <mergeCell ref="G21:H21"/>
    <mergeCell ref="G3:J3"/>
  </mergeCells>
  <hyperlinks>
    <hyperlink ref="K2" location="'Growth and Assumptions'!A1" display="Growth Rate" xr:uid="{7E077ACB-4FA4-45E6-A324-C105D1AE228B}"/>
  </hyperlinks>
  <pageMargins left="0.7" right="0.7" top="0.75" bottom="0.75" header="0.3" footer="0.3"/>
  <ignoredErrors>
    <ignoredError sqref="C9:E9" formula="1"/>
  </ignoredErrors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0DFEC-3149-41A2-B54D-25305DFB0FAB}">
  <dimension ref="A1"/>
  <sheetViews>
    <sheetView workbookViewId="0">
      <selection activeCell="H24" sqref="H24"/>
    </sheetView>
  </sheetViews>
  <sheetFormatPr defaultRowHeight="13.8" x14ac:dyDescent="0.25"/>
  <cols>
    <col min="1" max="16384" width="8.88671875" style="1"/>
  </cols>
  <sheetData>
    <row r="1" spans="1:1" x14ac:dyDescent="0.25">
      <c r="A1" s="1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3758-2737-4452-94A0-73678748CC4F}">
  <dimension ref="B2:M37"/>
  <sheetViews>
    <sheetView zoomScale="98" workbookViewId="0">
      <selection activeCell="E10" sqref="E10"/>
    </sheetView>
  </sheetViews>
  <sheetFormatPr defaultRowHeight="14.4" x14ac:dyDescent="0.3"/>
  <cols>
    <col min="1" max="1" width="8.88671875" style="30"/>
    <col min="2" max="2" width="25.77734375" style="30" bestFit="1" customWidth="1"/>
    <col min="3" max="3" width="26.44140625" style="30" bestFit="1" customWidth="1"/>
    <col min="4" max="4" width="20.33203125" style="30" bestFit="1" customWidth="1"/>
    <col min="5" max="7" width="8.88671875" style="30"/>
    <col min="8" max="8" width="20.21875" style="30" bestFit="1" customWidth="1"/>
    <col min="9" max="11" width="8.88671875" style="30"/>
    <col min="12" max="13" width="9.6640625" style="30" bestFit="1" customWidth="1"/>
    <col min="14" max="14" width="9.109375" style="30" bestFit="1" customWidth="1"/>
    <col min="15" max="16384" width="8.88671875" style="30"/>
  </cols>
  <sheetData>
    <row r="2" spans="2:12" x14ac:dyDescent="0.3">
      <c r="B2" s="29" t="s">
        <v>209</v>
      </c>
    </row>
    <row r="3" spans="2:12" ht="14.4" customHeight="1" x14ac:dyDescent="0.3">
      <c r="B3" s="95" t="s">
        <v>205</v>
      </c>
      <c r="C3" s="96"/>
      <c r="D3" s="97"/>
    </row>
    <row r="4" spans="2:12" x14ac:dyDescent="0.3">
      <c r="B4" s="98"/>
      <c r="C4" s="99"/>
      <c r="D4" s="100"/>
    </row>
    <row r="7" spans="2:12" x14ac:dyDescent="0.3">
      <c r="B7" s="27" t="s">
        <v>199</v>
      </c>
      <c r="C7" s="27" t="s">
        <v>206</v>
      </c>
      <c r="D7" s="27" t="s">
        <v>207</v>
      </c>
      <c r="H7" s="27" t="s">
        <v>217</v>
      </c>
      <c r="I7" s="27" t="s">
        <v>12</v>
      </c>
      <c r="J7" s="27" t="s">
        <v>13</v>
      </c>
      <c r="K7" s="27" t="s">
        <v>14</v>
      </c>
    </row>
    <row r="8" spans="2:12" x14ac:dyDescent="0.3">
      <c r="B8" s="29" t="s">
        <v>208</v>
      </c>
      <c r="C8" s="29">
        <v>1454</v>
      </c>
      <c r="D8" s="29">
        <v>3227</v>
      </c>
      <c r="H8" s="94" t="s">
        <v>218</v>
      </c>
      <c r="I8" s="90">
        <v>256</v>
      </c>
      <c r="J8" s="90">
        <v>225</v>
      </c>
      <c r="K8" s="90">
        <v>244</v>
      </c>
    </row>
    <row r="9" spans="2:12" x14ac:dyDescent="0.3">
      <c r="B9" s="29" t="s">
        <v>210</v>
      </c>
      <c r="C9" s="29">
        <v>108</v>
      </c>
      <c r="D9" s="29">
        <v>119</v>
      </c>
      <c r="H9" s="94"/>
      <c r="I9" s="90"/>
      <c r="J9" s="90"/>
      <c r="K9" s="90"/>
    </row>
    <row r="10" spans="2:12" x14ac:dyDescent="0.3">
      <c r="B10" s="29" t="s">
        <v>211</v>
      </c>
      <c r="C10" s="32">
        <f>+C9/C8</f>
        <v>7.4277854195323248E-2</v>
      </c>
      <c r="D10" s="32">
        <f>+D9/D8</f>
        <v>3.6876355748373099E-2</v>
      </c>
      <c r="H10" s="29" t="s">
        <v>144</v>
      </c>
      <c r="I10" s="29">
        <v>126</v>
      </c>
      <c r="J10" s="29">
        <v>247</v>
      </c>
      <c r="K10" s="29">
        <v>26</v>
      </c>
    </row>
    <row r="11" spans="2:12" x14ac:dyDescent="0.3">
      <c r="B11" s="27" t="s">
        <v>212</v>
      </c>
      <c r="C11" s="39">
        <f>+'Financial Statements'!C69</f>
        <v>0.18815405910134916</v>
      </c>
      <c r="D11" s="39">
        <v>0.16</v>
      </c>
      <c r="H11" s="29" t="s">
        <v>146</v>
      </c>
      <c r="I11" s="29">
        <f>+I8-I10</f>
        <v>130</v>
      </c>
      <c r="J11" s="29">
        <f>+J8-J10</f>
        <v>-22</v>
      </c>
      <c r="K11" s="29">
        <f>+K8-K10</f>
        <v>218</v>
      </c>
    </row>
    <row r="12" spans="2:12" ht="28.8" x14ac:dyDescent="0.3">
      <c r="B12" s="31" t="s">
        <v>213</v>
      </c>
      <c r="C12" s="38" t="s">
        <v>214</v>
      </c>
      <c r="D12" s="38" t="s">
        <v>215</v>
      </c>
      <c r="H12" s="29" t="s">
        <v>219</v>
      </c>
      <c r="I12" s="29">
        <f>+AVEDEV(I11:K11)</f>
        <v>87.1111111111111</v>
      </c>
      <c r="J12" s="29"/>
      <c r="K12" s="29"/>
    </row>
    <row r="13" spans="2:12" x14ac:dyDescent="0.3">
      <c r="B13" s="29" t="s">
        <v>216</v>
      </c>
      <c r="C13" s="29">
        <f>+'DCF Model'!C47*100000/10000000</f>
        <v>28.301007605974263</v>
      </c>
      <c r="D13" s="29">
        <f>+I12</f>
        <v>87.1111111111111</v>
      </c>
    </row>
    <row r="14" spans="2:12" x14ac:dyDescent="0.3">
      <c r="B14" s="27" t="s">
        <v>220</v>
      </c>
      <c r="C14" s="27">
        <f>+'DCF Model'!I23</f>
        <v>441.71445269044261</v>
      </c>
      <c r="D14" s="27">
        <f>+L19</f>
        <v>183.65457502879804</v>
      </c>
      <c r="H14" s="29" t="s">
        <v>221</v>
      </c>
      <c r="I14" s="35">
        <v>87.11</v>
      </c>
      <c r="J14" s="94" t="s">
        <v>229</v>
      </c>
      <c r="K14" s="94"/>
      <c r="L14" s="90">
        <f>+I33*(1+I17)</f>
        <v>251.94</v>
      </c>
    </row>
    <row r="15" spans="2:12" x14ac:dyDescent="0.3">
      <c r="B15" s="27" t="s">
        <v>187</v>
      </c>
      <c r="C15" s="39">
        <f>+'DCF Model'!I25</f>
        <v>-0.81009696788888963</v>
      </c>
      <c r="D15" s="39">
        <f>+L21</f>
        <v>-0.18375744431645319</v>
      </c>
      <c r="H15" s="29" t="s">
        <v>222</v>
      </c>
      <c r="I15" s="36">
        <v>0.1</v>
      </c>
      <c r="J15" s="94"/>
      <c r="K15" s="94"/>
      <c r="L15" s="90"/>
    </row>
    <row r="16" spans="2:12" x14ac:dyDescent="0.3">
      <c r="B16" s="27" t="s">
        <v>233</v>
      </c>
      <c r="C16" s="27">
        <v>1.61</v>
      </c>
      <c r="D16" s="27">
        <v>1.45</v>
      </c>
      <c r="H16" s="29" t="s">
        <v>223</v>
      </c>
      <c r="I16" s="36">
        <v>0.11</v>
      </c>
      <c r="J16" s="90" t="s">
        <v>230</v>
      </c>
      <c r="K16" s="90"/>
      <c r="L16" s="29">
        <f>+SUM(K24:K33)</f>
        <v>915</v>
      </c>
    </row>
    <row r="17" spans="2:13" x14ac:dyDescent="0.3">
      <c r="B17" s="29" t="s">
        <v>236</v>
      </c>
      <c r="C17" s="38" t="s">
        <v>234</v>
      </c>
      <c r="D17" s="38" t="s">
        <v>235</v>
      </c>
      <c r="H17" s="29" t="s">
        <v>224</v>
      </c>
      <c r="I17" s="36">
        <v>0.02</v>
      </c>
      <c r="J17" s="90" t="s">
        <v>181</v>
      </c>
      <c r="K17" s="90"/>
      <c r="L17" s="29">
        <f>+M17/(1+0.1)^5</f>
        <v>1564.3367628887736</v>
      </c>
      <c r="M17" s="30">
        <f>+L14/I15-I17</f>
        <v>2519.3799999999997</v>
      </c>
    </row>
    <row r="18" spans="2:13" x14ac:dyDescent="0.3">
      <c r="B18" s="29" t="s">
        <v>237</v>
      </c>
      <c r="C18" s="29">
        <v>35.9</v>
      </c>
      <c r="D18" s="29">
        <v>25.5</v>
      </c>
      <c r="H18" s="33"/>
      <c r="I18" s="34"/>
      <c r="J18" s="90" t="s">
        <v>231</v>
      </c>
      <c r="K18" s="90"/>
      <c r="L18" s="29">
        <f>+L16+L17</f>
        <v>2479.3367628887736</v>
      </c>
    </row>
    <row r="19" spans="2:13" x14ac:dyDescent="0.3">
      <c r="B19" s="29" t="s">
        <v>238</v>
      </c>
      <c r="C19" s="29">
        <v>452</v>
      </c>
      <c r="D19" s="29">
        <v>74</v>
      </c>
      <c r="H19" s="33"/>
      <c r="I19" s="34"/>
      <c r="J19" s="90" t="s">
        <v>183</v>
      </c>
      <c r="K19" s="90"/>
      <c r="L19" s="29">
        <f>+L18/13.5</f>
        <v>183.65457502879804</v>
      </c>
    </row>
    <row r="20" spans="2:13" x14ac:dyDescent="0.3">
      <c r="B20" s="29" t="s">
        <v>239</v>
      </c>
      <c r="C20" s="29">
        <v>5.15</v>
      </c>
      <c r="D20" s="29">
        <v>3.04</v>
      </c>
      <c r="J20" s="90" t="s">
        <v>232</v>
      </c>
      <c r="K20" s="90"/>
      <c r="L20" s="29">
        <v>225</v>
      </c>
    </row>
    <row r="21" spans="2:13" x14ac:dyDescent="0.3">
      <c r="J21" s="91" t="s">
        <v>187</v>
      </c>
      <c r="K21" s="92"/>
      <c r="L21" s="32">
        <f>(+L19-L20)/L20</f>
        <v>-0.18375744431645319</v>
      </c>
    </row>
    <row r="22" spans="2:13" x14ac:dyDescent="0.3">
      <c r="B22" s="93" t="s">
        <v>240</v>
      </c>
      <c r="C22" s="93"/>
      <c r="J22" s="37"/>
      <c r="K22" s="37"/>
    </row>
    <row r="23" spans="2:13" x14ac:dyDescent="0.3">
      <c r="H23" s="27" t="s">
        <v>225</v>
      </c>
      <c r="I23" s="27" t="s">
        <v>226</v>
      </c>
      <c r="J23" s="27" t="s">
        <v>227</v>
      </c>
      <c r="K23" s="27" t="s">
        <v>228</v>
      </c>
    </row>
    <row r="24" spans="2:13" x14ac:dyDescent="0.3">
      <c r="H24" s="29">
        <v>1</v>
      </c>
      <c r="I24" s="29">
        <v>97</v>
      </c>
      <c r="J24" s="32">
        <v>0.11</v>
      </c>
      <c r="K24" s="29">
        <v>88</v>
      </c>
    </row>
    <row r="25" spans="2:13" x14ac:dyDescent="0.3">
      <c r="H25" s="29">
        <v>2</v>
      </c>
      <c r="I25" s="29">
        <v>107</v>
      </c>
      <c r="J25" s="32">
        <v>0.11</v>
      </c>
      <c r="K25" s="29">
        <v>89</v>
      </c>
    </row>
    <row r="26" spans="2:13" x14ac:dyDescent="0.3">
      <c r="H26" s="29">
        <v>3</v>
      </c>
      <c r="I26" s="29">
        <v>119</v>
      </c>
      <c r="J26" s="32">
        <v>0.11</v>
      </c>
      <c r="K26" s="29">
        <v>89</v>
      </c>
    </row>
    <row r="27" spans="2:13" x14ac:dyDescent="0.3">
      <c r="H27" s="29">
        <v>4</v>
      </c>
      <c r="I27" s="29">
        <v>132</v>
      </c>
      <c r="J27" s="32">
        <v>0.11</v>
      </c>
      <c r="K27" s="29">
        <v>90</v>
      </c>
    </row>
    <row r="28" spans="2:13" x14ac:dyDescent="0.3">
      <c r="H28" s="29">
        <v>5</v>
      </c>
      <c r="I28" s="29">
        <v>147</v>
      </c>
      <c r="J28" s="32">
        <v>0.11</v>
      </c>
      <c r="K28" s="29">
        <v>91</v>
      </c>
    </row>
    <row r="29" spans="2:13" x14ac:dyDescent="0.3">
      <c r="H29" s="29">
        <v>6</v>
      </c>
      <c r="I29" s="29">
        <v>163</v>
      </c>
      <c r="J29" s="32">
        <v>0.11</v>
      </c>
      <c r="K29" s="29">
        <v>92</v>
      </c>
    </row>
    <row r="30" spans="2:13" x14ac:dyDescent="0.3">
      <c r="H30" s="29">
        <v>7</v>
      </c>
      <c r="I30" s="29">
        <v>181</v>
      </c>
      <c r="J30" s="32">
        <v>0.11</v>
      </c>
      <c r="K30" s="29">
        <v>93</v>
      </c>
    </row>
    <row r="31" spans="2:13" x14ac:dyDescent="0.3">
      <c r="H31" s="29">
        <v>8</v>
      </c>
      <c r="I31" s="29">
        <v>201</v>
      </c>
      <c r="J31" s="32">
        <v>0.11</v>
      </c>
      <c r="K31" s="29">
        <v>94</v>
      </c>
    </row>
    <row r="32" spans="2:13" x14ac:dyDescent="0.3">
      <c r="H32" s="29">
        <v>9</v>
      </c>
      <c r="I32" s="29">
        <v>223</v>
      </c>
      <c r="J32" s="32">
        <v>0.11</v>
      </c>
      <c r="K32" s="29">
        <v>94</v>
      </c>
    </row>
    <row r="33" spans="2:11" x14ac:dyDescent="0.3">
      <c r="H33" s="29">
        <v>10</v>
      </c>
      <c r="I33" s="29">
        <v>247</v>
      </c>
      <c r="J33" s="32">
        <v>0.11</v>
      </c>
      <c r="K33" s="29">
        <v>95</v>
      </c>
    </row>
    <row r="37" spans="2:11" x14ac:dyDescent="0.3">
      <c r="B37" s="30" t="s">
        <v>217</v>
      </c>
    </row>
  </sheetData>
  <mergeCells count="14">
    <mergeCell ref="J17:K17"/>
    <mergeCell ref="B3:D4"/>
    <mergeCell ref="H8:H9"/>
    <mergeCell ref="I8:I9"/>
    <mergeCell ref="J8:J9"/>
    <mergeCell ref="K8:K9"/>
    <mergeCell ref="J14:K15"/>
    <mergeCell ref="L14:L15"/>
    <mergeCell ref="J16:K16"/>
    <mergeCell ref="J18:K18"/>
    <mergeCell ref="J19:K19"/>
    <mergeCell ref="J20:K20"/>
    <mergeCell ref="J21:K21"/>
    <mergeCell ref="B22:C22"/>
  </mergeCells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B5C74-DF5D-4001-A70E-B451E4D44619}">
  <dimension ref="B3:J34"/>
  <sheetViews>
    <sheetView workbookViewId="0"/>
  </sheetViews>
  <sheetFormatPr defaultRowHeight="13.8" x14ac:dyDescent="0.25"/>
  <cols>
    <col min="1" max="1" width="8.88671875" style="1"/>
    <col min="2" max="2" width="15.77734375" style="1" bestFit="1" customWidth="1"/>
    <col min="3" max="4" width="12.33203125" style="1" bestFit="1" customWidth="1"/>
    <col min="5" max="5" width="10.109375" style="1" bestFit="1" customWidth="1"/>
    <col min="6" max="9" width="8.88671875" style="1"/>
    <col min="10" max="10" width="10.109375" style="1" bestFit="1" customWidth="1"/>
    <col min="11" max="16384" width="8.88671875" style="1"/>
  </cols>
  <sheetData>
    <row r="3" spans="2:10" x14ac:dyDescent="0.25">
      <c r="B3" s="1" t="s">
        <v>258</v>
      </c>
    </row>
    <row r="4" spans="2:10" ht="14.4" x14ac:dyDescent="0.3">
      <c r="B4" s="1" t="s">
        <v>146</v>
      </c>
      <c r="C4" s="44">
        <f>+'DCF Model'!C47</f>
        <v>2830.1007605974264</v>
      </c>
      <c r="D4" s="46" t="s">
        <v>173</v>
      </c>
      <c r="E4" t="s">
        <v>170</v>
      </c>
      <c r="F4" s="45">
        <v>9.1999999999999998E-2</v>
      </c>
      <c r="J4" s="44"/>
    </row>
    <row r="6" spans="2:10" ht="55.2" x14ac:dyDescent="0.25">
      <c r="B6" s="4" t="s">
        <v>180</v>
      </c>
      <c r="C6" s="4" t="s">
        <v>193</v>
      </c>
      <c r="D6" s="12" t="s">
        <v>184</v>
      </c>
      <c r="E6" s="12" t="s">
        <v>185</v>
      </c>
      <c r="F6" s="12" t="s">
        <v>179</v>
      </c>
    </row>
    <row r="7" spans="2:10" x14ac:dyDescent="0.25">
      <c r="B7" s="5">
        <v>0</v>
      </c>
      <c r="C7" s="5" t="s">
        <v>12</v>
      </c>
      <c r="D7" s="5">
        <f>+C4</f>
        <v>2830.1007605974264</v>
      </c>
      <c r="E7" s="5">
        <v>0</v>
      </c>
      <c r="F7" s="5">
        <v>0</v>
      </c>
    </row>
    <row r="8" spans="2:10" x14ac:dyDescent="0.25">
      <c r="B8" s="21">
        <v>1</v>
      </c>
      <c r="C8" s="5" t="s">
        <v>174</v>
      </c>
      <c r="D8" s="5">
        <f>+D7*(1+'Growth and Assumptions'!$C$22)</f>
        <v>3254.6158746870401</v>
      </c>
      <c r="E8" s="5">
        <f t="shared" ref="E8:E17" si="0">+D8/(1+9.02%)^B8</f>
        <v>2985.3383550605759</v>
      </c>
      <c r="F8" s="5">
        <f t="shared" ref="F8:F17" si="1">1/(1+$F$4)^B8</f>
        <v>0.91575091575091572</v>
      </c>
    </row>
    <row r="9" spans="2:10" x14ac:dyDescent="0.25">
      <c r="B9" s="21">
        <f t="shared" ref="B9:B12" si="2">+B8+1</f>
        <v>2</v>
      </c>
      <c r="C9" s="5" t="s">
        <v>175</v>
      </c>
      <c r="D9" s="5">
        <f>+D8*(1+'Growth and Assumptions'!$D$22)</f>
        <v>3742.808255890096</v>
      </c>
      <c r="E9" s="5">
        <f t="shared" si="0"/>
        <v>3149.0910918360505</v>
      </c>
      <c r="F9" s="5">
        <f t="shared" si="1"/>
        <v>0.83859973969864066</v>
      </c>
    </row>
    <row r="10" spans="2:10" x14ac:dyDescent="0.25">
      <c r="B10" s="21">
        <f t="shared" si="2"/>
        <v>3</v>
      </c>
      <c r="C10" s="5" t="s">
        <v>176</v>
      </c>
      <c r="D10" s="5">
        <f>+D9*(1+'Growth and Assumptions'!E22)</f>
        <v>4304.2294942736098</v>
      </c>
      <c r="E10" s="5">
        <f t="shared" si="0"/>
        <v>3321.8260462405592</v>
      </c>
      <c r="F10" s="5">
        <f t="shared" si="1"/>
        <v>0.76794847957750967</v>
      </c>
    </row>
    <row r="11" spans="2:10" x14ac:dyDescent="0.25">
      <c r="B11" s="21">
        <f t="shared" si="2"/>
        <v>4</v>
      </c>
      <c r="C11" s="5" t="s">
        <v>177</v>
      </c>
      <c r="D11" s="5">
        <f>+D10*(1+'Growth and Assumptions'!F22)</f>
        <v>4820.7370335864434</v>
      </c>
      <c r="E11" s="5">
        <f t="shared" si="0"/>
        <v>3412.626281223103</v>
      </c>
      <c r="F11" s="5">
        <f t="shared" si="1"/>
        <v>0.70324952342262792</v>
      </c>
    </row>
    <row r="12" spans="2:10" x14ac:dyDescent="0.25">
      <c r="B12" s="21">
        <f t="shared" si="2"/>
        <v>5</v>
      </c>
      <c r="C12" s="5" t="s">
        <v>178</v>
      </c>
      <c r="D12" s="5">
        <f>+D11*(1+'Growth and Assumptions'!G22)</f>
        <v>5399.2254776168174</v>
      </c>
      <c r="E12" s="5">
        <f t="shared" si="0"/>
        <v>3505.9084892403921</v>
      </c>
      <c r="F12" s="5">
        <f t="shared" si="1"/>
        <v>0.64400139507566645</v>
      </c>
    </row>
    <row r="13" spans="2:10" x14ac:dyDescent="0.25">
      <c r="B13" s="21">
        <f>+B12+1</f>
        <v>6</v>
      </c>
      <c r="C13" s="5" t="s">
        <v>188</v>
      </c>
      <c r="D13" s="5">
        <f>+D12*(1+'Growth and Assumptions'!H22)</f>
        <v>6047.1325349308363</v>
      </c>
      <c r="E13" s="5">
        <f t="shared" si="0"/>
        <v>3601.7405136206567</v>
      </c>
      <c r="F13" s="5">
        <f t="shared" si="1"/>
        <v>0.58974486728540887</v>
      </c>
    </row>
    <row r="14" spans="2:10" x14ac:dyDescent="0.25">
      <c r="B14" s="21">
        <f>+B13+1</f>
        <v>7</v>
      </c>
      <c r="C14" s="5" t="s">
        <v>189</v>
      </c>
      <c r="D14" s="5">
        <f>+D13*(1+'Growth and Assumptions'!I22)</f>
        <v>6530.9031377253041</v>
      </c>
      <c r="E14" s="5">
        <f t="shared" si="0"/>
        <v>3568.0423360028522</v>
      </c>
      <c r="F14" s="5">
        <f t="shared" si="1"/>
        <v>0.54005940227601534</v>
      </c>
    </row>
    <row r="15" spans="2:10" x14ac:dyDescent="0.25">
      <c r="B15" s="21">
        <f>+B14+1</f>
        <v>8</v>
      </c>
      <c r="C15" s="5" t="s">
        <v>190</v>
      </c>
      <c r="D15" s="5">
        <f>+D14*(1+'Growth and Assumptions'!J22)</f>
        <v>7053.3753887433286</v>
      </c>
      <c r="E15" s="5">
        <f t="shared" si="0"/>
        <v>3534.6594412796558</v>
      </c>
      <c r="F15" s="5">
        <f t="shared" si="1"/>
        <v>0.49455989219415319</v>
      </c>
    </row>
    <row r="16" spans="2:10" x14ac:dyDescent="0.25">
      <c r="B16" s="21">
        <f>+B15+1</f>
        <v>9</v>
      </c>
      <c r="C16" s="5" t="s">
        <v>191</v>
      </c>
      <c r="D16" s="5">
        <f>+D15*(1+'Growth and Assumptions'!K22)</f>
        <v>7617.6454198427955</v>
      </c>
      <c r="E16" s="5">
        <f t="shared" si="0"/>
        <v>3501.5888796386248</v>
      </c>
      <c r="F16" s="5">
        <f t="shared" si="1"/>
        <v>0.45289367417046988</v>
      </c>
    </row>
    <row r="17" spans="2:6" x14ac:dyDescent="0.25">
      <c r="B17" s="21">
        <f>+B16+1</f>
        <v>10</v>
      </c>
      <c r="C17" s="5" t="s">
        <v>192</v>
      </c>
      <c r="D17" s="5">
        <f>+D16*(1+'Growth and Assumptions'!L22)</f>
        <v>7998.527690834936</v>
      </c>
      <c r="E17" s="5">
        <f t="shared" si="0"/>
        <v>3372.4714030641685</v>
      </c>
      <c r="F17" s="5">
        <f t="shared" si="1"/>
        <v>0.41473779685940465</v>
      </c>
    </row>
    <row r="18" spans="2:6" x14ac:dyDescent="0.25">
      <c r="B18" s="79" t="s">
        <v>181</v>
      </c>
      <c r="C18" s="81"/>
      <c r="D18" s="5">
        <f>+C34</f>
        <v>66345.835052316455</v>
      </c>
      <c r="E18" s="3"/>
      <c r="F18" s="3"/>
    </row>
    <row r="19" spans="2:6" x14ac:dyDescent="0.25">
      <c r="B19" s="3"/>
      <c r="C19" s="3"/>
      <c r="D19" s="3"/>
      <c r="E19" s="3"/>
      <c r="F19" s="3"/>
    </row>
    <row r="20" spans="2:6" x14ac:dyDescent="0.25">
      <c r="B20" s="84" t="s">
        <v>182</v>
      </c>
      <c r="C20" s="86"/>
      <c r="D20" s="101">
        <f>+SUM(E8:E17)+D18</f>
        <v>100299.12788952309</v>
      </c>
      <c r="E20" s="3"/>
      <c r="F20" s="3"/>
    </row>
    <row r="21" spans="2:6" x14ac:dyDescent="0.25">
      <c r="B21" s="87"/>
      <c r="C21" s="89"/>
      <c r="D21" s="102"/>
      <c r="E21" s="3"/>
      <c r="F21" s="3"/>
    </row>
    <row r="22" spans="2:6" x14ac:dyDescent="0.25">
      <c r="B22" s="82" t="s">
        <v>3</v>
      </c>
      <c r="C22" s="83"/>
      <c r="D22" s="5">
        <f>+'Financial Statements'!C25</f>
        <v>160.26917360285336</v>
      </c>
      <c r="E22" s="3"/>
      <c r="F22" s="3"/>
    </row>
    <row r="23" spans="2:6" x14ac:dyDescent="0.25">
      <c r="B23" s="74" t="s">
        <v>183</v>
      </c>
      <c r="C23" s="76"/>
      <c r="D23" s="5">
        <f>+D20/D22</f>
        <v>625.81671593355873</v>
      </c>
      <c r="E23" s="3"/>
      <c r="F23" s="3"/>
    </row>
    <row r="24" spans="2:6" x14ac:dyDescent="0.25">
      <c r="B24" s="74" t="s">
        <v>186</v>
      </c>
      <c r="C24" s="76"/>
      <c r="D24" s="5">
        <f>+Dashboard!D5</f>
        <v>2326</v>
      </c>
      <c r="E24" s="3"/>
      <c r="F24" s="3"/>
    </row>
    <row r="25" spans="2:6" x14ac:dyDescent="0.25">
      <c r="B25" s="74" t="s">
        <v>187</v>
      </c>
      <c r="C25" s="76"/>
      <c r="D25" s="10">
        <f>+(D23-D24)/D24</f>
        <v>-0.73094724164507363</v>
      </c>
      <c r="E25" s="3"/>
      <c r="F25" s="3"/>
    </row>
    <row r="27" spans="2:6" x14ac:dyDescent="0.25">
      <c r="B27" s="3" t="s">
        <v>142</v>
      </c>
      <c r="C27" s="3"/>
    </row>
    <row r="28" spans="2:6" x14ac:dyDescent="0.25">
      <c r="B28" s="5" t="s">
        <v>170</v>
      </c>
      <c r="C28" s="9">
        <v>9.1999999999999998E-2</v>
      </c>
    </row>
    <row r="29" spans="2:6" x14ac:dyDescent="0.25">
      <c r="B29" s="5" t="s">
        <v>173</v>
      </c>
      <c r="C29" s="9">
        <v>0.04</v>
      </c>
    </row>
    <row r="30" spans="2:6" x14ac:dyDescent="0.25">
      <c r="B30" s="5" t="s">
        <v>181</v>
      </c>
      <c r="C30" s="5">
        <f>D17*(1+C29)/(C28-C29)</f>
        <v>159970.55381669872</v>
      </c>
    </row>
    <row r="31" spans="2:6" x14ac:dyDescent="0.25">
      <c r="B31" s="3"/>
      <c r="C31" s="3"/>
    </row>
    <row r="32" spans="2:6" ht="15.6" x14ac:dyDescent="0.4">
      <c r="B32" s="9" t="s">
        <v>194</v>
      </c>
      <c r="C32" s="47">
        <f>+C30</f>
        <v>159970.55381669872</v>
      </c>
    </row>
    <row r="33" spans="2:3" x14ac:dyDescent="0.25">
      <c r="B33" s="5"/>
      <c r="C33" s="5" t="s">
        <v>195</v>
      </c>
    </row>
    <row r="34" spans="2:3" x14ac:dyDescent="0.25">
      <c r="B34" s="5"/>
      <c r="C34" s="5">
        <f>C30/((1.092)^10)</f>
        <v>66345.835052316455</v>
      </c>
    </row>
  </sheetData>
  <mergeCells count="7">
    <mergeCell ref="B25:C25"/>
    <mergeCell ref="B20:C21"/>
    <mergeCell ref="D20:D21"/>
    <mergeCell ref="B18:C18"/>
    <mergeCell ref="B22:C22"/>
    <mergeCell ref="B23:C23"/>
    <mergeCell ref="B24:C24"/>
  </mergeCells>
  <hyperlinks>
    <hyperlink ref="D4:E4" location="'Growth and Assumptions'!A1" display="Growth Rate" xr:uid="{2CED0B71-0E51-4801-8716-008351A9A4C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01B45-B7D1-4C80-984E-405017DAE651}">
  <dimension ref="B2:L29"/>
  <sheetViews>
    <sheetView workbookViewId="0">
      <selection activeCell="L23" sqref="L23"/>
    </sheetView>
  </sheetViews>
  <sheetFormatPr defaultRowHeight="14.4" x14ac:dyDescent="0.3"/>
  <cols>
    <col min="2" max="2" width="16.109375" bestFit="1" customWidth="1"/>
    <col min="3" max="3" width="11" bestFit="1" customWidth="1"/>
    <col min="4" max="12" width="10" bestFit="1" customWidth="1"/>
  </cols>
  <sheetData>
    <row r="2" spans="2:12" x14ac:dyDescent="0.3">
      <c r="B2" s="25" t="s">
        <v>199</v>
      </c>
      <c r="C2" s="25">
        <v>2025</v>
      </c>
      <c r="D2" s="25">
        <v>2024</v>
      </c>
      <c r="E2" s="25">
        <v>2023</v>
      </c>
      <c r="F2" s="25">
        <v>2022</v>
      </c>
      <c r="G2" s="25">
        <v>2021</v>
      </c>
      <c r="H2" s="25">
        <v>2020</v>
      </c>
      <c r="I2" s="25">
        <v>2019</v>
      </c>
    </row>
    <row r="3" spans="2:12" x14ac:dyDescent="0.3">
      <c r="B3" s="25" t="s">
        <v>198</v>
      </c>
      <c r="C3" s="25">
        <v>108</v>
      </c>
      <c r="D3" s="25">
        <v>86</v>
      </c>
      <c r="E3" s="25">
        <v>81</v>
      </c>
      <c r="F3" s="25">
        <v>17</v>
      </c>
      <c r="G3" s="25">
        <v>6</v>
      </c>
      <c r="H3" s="25">
        <v>40</v>
      </c>
      <c r="I3" s="25">
        <v>7</v>
      </c>
    </row>
    <row r="4" spans="2:12" x14ac:dyDescent="0.3">
      <c r="B4" s="25" t="s">
        <v>200</v>
      </c>
      <c r="C4" s="26">
        <f t="shared" ref="C4:H4" si="0">(+C3-D3)/D3</f>
        <v>0.2558139534883721</v>
      </c>
      <c r="D4" s="26">
        <f t="shared" si="0"/>
        <v>6.1728395061728392E-2</v>
      </c>
      <c r="E4" s="26">
        <f t="shared" si="0"/>
        <v>3.7647058823529411</v>
      </c>
      <c r="F4" s="26">
        <f t="shared" si="0"/>
        <v>1.8333333333333333</v>
      </c>
      <c r="G4" s="26">
        <f t="shared" si="0"/>
        <v>-0.85</v>
      </c>
      <c r="H4" s="26">
        <f t="shared" si="0"/>
        <v>4.7142857142857144</v>
      </c>
      <c r="I4" s="27">
        <v>0</v>
      </c>
    </row>
    <row r="6" spans="2:12" x14ac:dyDescent="0.3">
      <c r="B6" s="25" t="s">
        <v>199</v>
      </c>
      <c r="C6" s="25">
        <v>2025</v>
      </c>
      <c r="D6" s="25">
        <v>2024</v>
      </c>
      <c r="E6" s="25">
        <v>2023</v>
      </c>
      <c r="F6" s="25">
        <v>2022</v>
      </c>
      <c r="G6" s="25">
        <v>2021</v>
      </c>
      <c r="H6" s="25">
        <v>2020</v>
      </c>
      <c r="I6" s="25">
        <v>2019</v>
      </c>
    </row>
    <row r="7" spans="2:12" x14ac:dyDescent="0.3">
      <c r="B7" s="25" t="s">
        <v>201</v>
      </c>
      <c r="C7" s="25">
        <v>1454</v>
      </c>
      <c r="D7" s="25">
        <v>1293</v>
      </c>
      <c r="E7" s="25">
        <v>1124</v>
      </c>
      <c r="F7" s="25">
        <v>835</v>
      </c>
      <c r="G7" s="25">
        <v>576</v>
      </c>
      <c r="H7" s="25">
        <v>719</v>
      </c>
      <c r="I7" s="25">
        <v>698</v>
      </c>
    </row>
    <row r="8" spans="2:12" x14ac:dyDescent="0.3">
      <c r="B8" s="25" t="s">
        <v>202</v>
      </c>
      <c r="C8" s="26">
        <f t="shared" ref="C8:H8" si="1">(+C7-D7)/D7</f>
        <v>0.12451662799690642</v>
      </c>
      <c r="D8" s="26">
        <f t="shared" si="1"/>
        <v>0.15035587188612098</v>
      </c>
      <c r="E8" s="26">
        <f t="shared" si="1"/>
        <v>0.34610778443113771</v>
      </c>
      <c r="F8" s="26">
        <f t="shared" si="1"/>
        <v>0.44965277777777779</v>
      </c>
      <c r="G8" s="26">
        <f t="shared" si="1"/>
        <v>-0.19888734353268428</v>
      </c>
      <c r="H8" s="26">
        <f t="shared" si="1"/>
        <v>3.0085959885386818E-2</v>
      </c>
      <c r="I8" s="27">
        <v>0</v>
      </c>
    </row>
    <row r="10" spans="2:12" x14ac:dyDescent="0.3">
      <c r="B10" s="103" t="s">
        <v>241</v>
      </c>
      <c r="C10" s="104"/>
      <c r="D10" s="104"/>
      <c r="E10" s="104"/>
      <c r="F10" s="104"/>
      <c r="G10" s="104"/>
      <c r="H10" s="104"/>
      <c r="I10" s="104"/>
      <c r="J10" s="104"/>
      <c r="K10" s="104"/>
      <c r="L10" s="105"/>
    </row>
    <row r="12" spans="2:12" x14ac:dyDescent="0.3">
      <c r="B12" s="25" t="s">
        <v>199</v>
      </c>
      <c r="C12" s="25" t="s">
        <v>242</v>
      </c>
      <c r="D12" s="25" t="s">
        <v>246</v>
      </c>
      <c r="E12" s="25" t="s">
        <v>248</v>
      </c>
      <c r="F12" s="25" t="s">
        <v>249</v>
      </c>
      <c r="G12" s="25" t="s">
        <v>250</v>
      </c>
      <c r="H12" s="25" t="s">
        <v>251</v>
      </c>
      <c r="I12" s="25" t="s">
        <v>252</v>
      </c>
      <c r="J12" s="25" t="s">
        <v>253</v>
      </c>
      <c r="K12" s="25" t="s">
        <v>254</v>
      </c>
      <c r="L12" s="25" t="s">
        <v>255</v>
      </c>
    </row>
    <row r="13" spans="2:12" x14ac:dyDescent="0.3">
      <c r="B13" s="41" t="s">
        <v>243</v>
      </c>
      <c r="C13" s="41">
        <v>0.18</v>
      </c>
      <c r="D13" s="41">
        <v>0.15</v>
      </c>
      <c r="E13" s="41">
        <v>0.15</v>
      </c>
      <c r="F13" s="41">
        <v>0.15</v>
      </c>
      <c r="G13" s="41">
        <v>0.1</v>
      </c>
      <c r="H13" s="41">
        <v>0.1</v>
      </c>
      <c r="I13" s="41">
        <v>0.1</v>
      </c>
      <c r="J13" s="41">
        <v>0.1</v>
      </c>
      <c r="K13" s="41">
        <v>7.0000000000000007E-2</v>
      </c>
      <c r="L13" s="41">
        <v>7.0000000000000007E-2</v>
      </c>
    </row>
    <row r="14" spans="2:12" x14ac:dyDescent="0.3">
      <c r="B14" s="28" t="s">
        <v>244</v>
      </c>
      <c r="C14" s="41">
        <v>9.8000000000000004E-2</v>
      </c>
      <c r="D14" s="41">
        <v>0.09</v>
      </c>
      <c r="E14" s="41">
        <v>0.09</v>
      </c>
      <c r="F14" s="41">
        <v>0.09</v>
      </c>
      <c r="G14" s="41">
        <v>7.0000000000000007E-2</v>
      </c>
      <c r="H14" s="41">
        <v>7.0000000000000007E-2</v>
      </c>
      <c r="I14" s="41">
        <v>7.0000000000000007E-2</v>
      </c>
      <c r="J14" s="41">
        <v>0.05</v>
      </c>
      <c r="K14" s="41">
        <v>0.05</v>
      </c>
      <c r="L14" s="41">
        <v>0.05</v>
      </c>
    </row>
    <row r="15" spans="2:12" ht="28.8" x14ac:dyDescent="0.3">
      <c r="B15" s="42" t="s">
        <v>247</v>
      </c>
      <c r="C15" s="41">
        <v>0.1</v>
      </c>
      <c r="D15" s="41">
        <v>0.1</v>
      </c>
      <c r="E15" s="41">
        <v>0.1</v>
      </c>
      <c r="F15" s="41">
        <v>0.1</v>
      </c>
      <c r="G15" s="41">
        <v>0.1</v>
      </c>
      <c r="H15" s="41">
        <v>7.0000000000000007E-2</v>
      </c>
      <c r="I15" s="41">
        <v>7.0000000000000007E-2</v>
      </c>
      <c r="J15" s="41">
        <v>7.0000000000000007E-2</v>
      </c>
      <c r="K15" s="41">
        <v>0.05</v>
      </c>
      <c r="L15" s="41">
        <v>0.05</v>
      </c>
    </row>
    <row r="17" spans="2:12" x14ac:dyDescent="0.3">
      <c r="B17" s="25" t="s">
        <v>256</v>
      </c>
      <c r="C17" s="40"/>
      <c r="D17" s="40"/>
      <c r="E17" s="40"/>
      <c r="F17" s="40"/>
      <c r="G17" s="40"/>
      <c r="H17" s="40"/>
      <c r="I17" s="40"/>
      <c r="J17" s="40"/>
      <c r="K17" s="40"/>
      <c r="L17" s="40"/>
    </row>
    <row r="19" spans="2:12" x14ac:dyDescent="0.3">
      <c r="B19" s="25" t="s">
        <v>199</v>
      </c>
      <c r="C19" s="25" t="s">
        <v>242</v>
      </c>
      <c r="D19" s="25" t="s">
        <v>246</v>
      </c>
      <c r="E19" s="25" t="s">
        <v>248</v>
      </c>
      <c r="F19" s="25" t="s">
        <v>249</v>
      </c>
      <c r="G19" s="25" t="s">
        <v>250</v>
      </c>
      <c r="H19" s="25" t="s">
        <v>251</v>
      </c>
      <c r="I19" s="25" t="s">
        <v>252</v>
      </c>
      <c r="J19" s="25" t="s">
        <v>253</v>
      </c>
      <c r="K19" s="25" t="s">
        <v>254</v>
      </c>
      <c r="L19" s="25" t="s">
        <v>255</v>
      </c>
    </row>
    <row r="20" spans="2:12" x14ac:dyDescent="0.3">
      <c r="B20" s="41" t="s">
        <v>243</v>
      </c>
      <c r="C20" s="41">
        <v>0.2</v>
      </c>
      <c r="D20" s="41">
        <v>0.15</v>
      </c>
      <c r="E20" s="41">
        <v>0.15</v>
      </c>
      <c r="F20" s="41">
        <v>0.15</v>
      </c>
      <c r="G20" s="41">
        <v>0.15</v>
      </c>
      <c r="H20" s="41">
        <v>0.15</v>
      </c>
      <c r="I20" s="41">
        <v>0.15</v>
      </c>
      <c r="J20" s="41">
        <v>0.1</v>
      </c>
      <c r="K20" s="41">
        <v>0.1</v>
      </c>
      <c r="L20" s="41">
        <v>0.1</v>
      </c>
    </row>
    <row r="21" spans="2:12" x14ac:dyDescent="0.3">
      <c r="B21" s="28" t="s">
        <v>244</v>
      </c>
      <c r="C21" s="41">
        <v>0.18</v>
      </c>
      <c r="D21" s="41">
        <v>0.18</v>
      </c>
      <c r="E21" s="41">
        <v>0.18</v>
      </c>
      <c r="F21" s="41">
        <v>0.15</v>
      </c>
      <c r="G21" s="41">
        <v>0.15</v>
      </c>
      <c r="H21" s="41">
        <v>0.15</v>
      </c>
      <c r="I21" s="41">
        <v>0.1</v>
      </c>
      <c r="J21" s="41">
        <v>0.1</v>
      </c>
      <c r="K21" s="41">
        <v>0.1</v>
      </c>
      <c r="L21" s="41">
        <v>7.0000000000000007E-2</v>
      </c>
    </row>
    <row r="22" spans="2:12" ht="28.8" x14ac:dyDescent="0.3">
      <c r="B22" s="42" t="s">
        <v>247</v>
      </c>
      <c r="C22" s="41">
        <v>0.15</v>
      </c>
      <c r="D22" s="41">
        <v>0.15</v>
      </c>
      <c r="E22" s="41">
        <v>0.15</v>
      </c>
      <c r="F22" s="41">
        <v>0.12</v>
      </c>
      <c r="G22" s="41">
        <v>0.12</v>
      </c>
      <c r="H22" s="41">
        <v>0.12</v>
      </c>
      <c r="I22" s="41">
        <v>0.08</v>
      </c>
      <c r="J22" s="41">
        <v>0.08</v>
      </c>
      <c r="K22" s="41">
        <v>0.08</v>
      </c>
      <c r="L22" s="41">
        <v>0.05</v>
      </c>
    </row>
    <row r="24" spans="2:12" x14ac:dyDescent="0.3">
      <c r="B24" s="25" t="s">
        <v>257</v>
      </c>
      <c r="C24" s="40"/>
      <c r="D24" s="40"/>
      <c r="E24" s="40"/>
      <c r="F24" s="40"/>
      <c r="G24" s="40"/>
      <c r="H24" s="40"/>
      <c r="I24" s="40"/>
      <c r="J24" s="40"/>
      <c r="K24" s="40"/>
      <c r="L24" s="40"/>
    </row>
    <row r="26" spans="2:12" x14ac:dyDescent="0.3">
      <c r="B26" s="25" t="s">
        <v>199</v>
      </c>
      <c r="C26" s="25" t="s">
        <v>242</v>
      </c>
      <c r="D26" s="25" t="s">
        <v>246</v>
      </c>
      <c r="E26" s="25" t="s">
        <v>248</v>
      </c>
      <c r="F26" s="25" t="s">
        <v>249</v>
      </c>
      <c r="G26" s="25" t="s">
        <v>250</v>
      </c>
      <c r="H26" s="25" t="s">
        <v>251</v>
      </c>
      <c r="I26" s="25" t="s">
        <v>252</v>
      </c>
      <c r="J26" s="25" t="s">
        <v>253</v>
      </c>
      <c r="K26" s="25" t="s">
        <v>254</v>
      </c>
      <c r="L26" s="25" t="s">
        <v>255</v>
      </c>
    </row>
    <row r="27" spans="2:12" x14ac:dyDescent="0.3">
      <c r="B27" s="41" t="s">
        <v>243</v>
      </c>
      <c r="C27" s="41">
        <v>0.18</v>
      </c>
      <c r="D27" s="41">
        <v>0.12</v>
      </c>
      <c r="E27" s="41">
        <v>0.12</v>
      </c>
      <c r="F27" s="41">
        <v>0.12</v>
      </c>
      <c r="G27" s="41">
        <v>0.09</v>
      </c>
      <c r="H27" s="41">
        <v>0.09</v>
      </c>
      <c r="I27" s="41">
        <v>0.09</v>
      </c>
      <c r="J27" s="41">
        <v>0.05</v>
      </c>
      <c r="K27" s="41">
        <v>0.05</v>
      </c>
      <c r="L27" s="41">
        <v>0.05</v>
      </c>
    </row>
    <row r="28" spans="2:12" x14ac:dyDescent="0.3">
      <c r="B28" s="28" t="s">
        <v>244</v>
      </c>
      <c r="C28" s="41">
        <v>9.8000000000000004E-2</v>
      </c>
      <c r="D28" s="41">
        <v>0.06</v>
      </c>
      <c r="E28" s="41">
        <v>0.06</v>
      </c>
      <c r="F28" s="41">
        <v>0.06</v>
      </c>
      <c r="G28" s="41">
        <v>0.03</v>
      </c>
      <c r="H28" s="41">
        <v>0.03</v>
      </c>
      <c r="I28" s="41">
        <v>0.03</v>
      </c>
      <c r="J28" s="41">
        <v>0.01</v>
      </c>
      <c r="K28" s="41">
        <v>0.01</v>
      </c>
      <c r="L28" s="41">
        <v>0.01</v>
      </c>
    </row>
    <row r="29" spans="2:12" ht="28.8" x14ac:dyDescent="0.3">
      <c r="B29" s="42" t="s">
        <v>247</v>
      </c>
      <c r="C29" s="41">
        <v>0.12</v>
      </c>
      <c r="D29" s="41">
        <v>0.05</v>
      </c>
      <c r="E29" s="41">
        <v>0.05</v>
      </c>
      <c r="F29" s="41">
        <v>0.05</v>
      </c>
      <c r="G29" s="41">
        <v>0.05</v>
      </c>
      <c r="H29" s="41">
        <v>0.03</v>
      </c>
      <c r="I29" s="41">
        <v>0.03</v>
      </c>
      <c r="J29" s="41">
        <v>0.01</v>
      </c>
      <c r="K29" s="41">
        <v>0.01</v>
      </c>
      <c r="L29" s="41">
        <v>0.01</v>
      </c>
    </row>
  </sheetData>
  <mergeCells count="1">
    <mergeCell ref="B10:L10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</vt:lpstr>
      <vt:lpstr>Financial Statements</vt:lpstr>
      <vt:lpstr>DCF Model</vt:lpstr>
      <vt:lpstr>Munger Heat Map</vt:lpstr>
      <vt:lpstr>Relative valuation</vt:lpstr>
      <vt:lpstr>Scenario</vt:lpstr>
      <vt:lpstr>Growth and Assumptions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Jay Sejpal</cp:lastModifiedBy>
  <dcterms:created xsi:type="dcterms:W3CDTF">2015-06-05T18:17:20Z</dcterms:created>
  <dcterms:modified xsi:type="dcterms:W3CDTF">2025-07-07T07:20:25Z</dcterms:modified>
</cp:coreProperties>
</file>