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investing\Analysis\Choice International Ltd\"/>
    </mc:Choice>
  </mc:AlternateContent>
  <xr:revisionPtr revIDLastSave="0" documentId="13_ncr:1_{33A693CF-F334-4A42-8F11-A8C2B73476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2" l="1"/>
  <c r="G70" i="2"/>
  <c r="G66" i="2"/>
  <c r="G55" i="2"/>
  <c r="G56" i="2" s="1"/>
  <c r="G50" i="2"/>
  <c r="G44" i="2"/>
  <c r="G41" i="2"/>
  <c r="G37" i="2"/>
  <c r="W25" i="2"/>
  <c r="R6" i="1"/>
  <c r="R5" i="1"/>
  <c r="X25" i="2" l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FI25" i="2" s="1"/>
  <c r="FJ25" i="2" s="1"/>
  <c r="FK25" i="2" s="1"/>
  <c r="FL25" i="2" s="1"/>
  <c r="FM25" i="2" s="1"/>
  <c r="FN25" i="2" s="1"/>
  <c r="FO25" i="2" s="1"/>
  <c r="FP25" i="2" s="1"/>
  <c r="FQ25" i="2" s="1"/>
  <c r="FR25" i="2" s="1"/>
  <c r="FS25" i="2" s="1"/>
  <c r="FT25" i="2" s="1"/>
  <c r="FU25" i="2" s="1"/>
  <c r="FV25" i="2" s="1"/>
  <c r="FW25" i="2" s="1"/>
  <c r="FX25" i="2" s="1"/>
  <c r="FY25" i="2" s="1"/>
  <c r="FZ25" i="2" s="1"/>
  <c r="GA25" i="2" s="1"/>
  <c r="GB25" i="2" s="1"/>
  <c r="GC25" i="2" s="1"/>
  <c r="GD25" i="2" s="1"/>
  <c r="GE25" i="2" s="1"/>
  <c r="GF25" i="2" s="1"/>
  <c r="GG25" i="2" s="1"/>
  <c r="GH25" i="2" s="1"/>
  <c r="GI25" i="2" s="1"/>
  <c r="GJ25" i="2" s="1"/>
  <c r="GK25" i="2" s="1"/>
  <c r="GL25" i="2" s="1"/>
  <c r="GM25" i="2" s="1"/>
  <c r="GN25" i="2" s="1"/>
  <c r="GO25" i="2" s="1"/>
  <c r="GP25" i="2" s="1"/>
  <c r="GQ25" i="2" s="1"/>
  <c r="GR25" i="2" s="1"/>
  <c r="GS25" i="2" s="1"/>
  <c r="GT25" i="2" s="1"/>
  <c r="GU25" i="2" s="1"/>
  <c r="GV25" i="2" s="1"/>
  <c r="GW25" i="2" s="1"/>
  <c r="GX25" i="2" s="1"/>
  <c r="GY25" i="2" s="1"/>
  <c r="GZ25" i="2" s="1"/>
  <c r="HA25" i="2" s="1"/>
  <c r="HB25" i="2" s="1"/>
  <c r="HC25" i="2" s="1"/>
  <c r="HD25" i="2" s="1"/>
  <c r="HE25" i="2" s="1"/>
  <c r="HF25" i="2" s="1"/>
  <c r="HG25" i="2" s="1"/>
  <c r="HH25" i="2" s="1"/>
  <c r="HI25" i="2" s="1"/>
  <c r="HJ25" i="2" s="1"/>
  <c r="HK25" i="2" s="1"/>
  <c r="HL25" i="2" s="1"/>
  <c r="HM25" i="2" s="1"/>
  <c r="HN25" i="2" s="1"/>
  <c r="Q25" i="2"/>
  <c r="R25" i="2" s="1"/>
  <c r="S25" i="2" s="1"/>
  <c r="T25" i="2" s="1"/>
  <c r="U25" i="2" s="1"/>
  <c r="V25" i="2" s="1"/>
  <c r="P25" i="2"/>
  <c r="O25" i="2"/>
  <c r="N25" i="2"/>
  <c r="M25" i="2"/>
  <c r="L25" i="2"/>
  <c r="K24" i="2"/>
  <c r="K18" i="2"/>
  <c r="K10" i="2"/>
  <c r="K20" i="2" s="1"/>
  <c r="K25" i="2" s="1"/>
  <c r="K27" i="2" s="1"/>
  <c r="J24" i="2"/>
  <c r="J18" i="2"/>
  <c r="J10" i="2"/>
  <c r="J20" i="2" s="1"/>
  <c r="J25" i="2" s="1"/>
  <c r="J27" i="2" s="1"/>
  <c r="I10" i="2"/>
  <c r="I24" i="2"/>
  <c r="I18" i="2"/>
  <c r="I20" i="2" s="1"/>
  <c r="I25" i="2" s="1"/>
  <c r="I27" i="2" s="1"/>
  <c r="G7" i="2"/>
  <c r="G24" i="2"/>
  <c r="G20" i="2"/>
  <c r="G25" i="2" s="1"/>
  <c r="G18" i="2"/>
  <c r="G10" i="2"/>
  <c r="F7" i="2"/>
  <c r="F24" i="2"/>
  <c r="F18" i="2"/>
  <c r="F10" i="2"/>
  <c r="F20" i="2" s="1"/>
  <c r="F25" i="2" s="1"/>
  <c r="E7" i="2"/>
  <c r="E24" i="2"/>
  <c r="E18" i="2"/>
  <c r="E10" i="2"/>
  <c r="E20" i="2" s="1"/>
  <c r="E25" i="2" s="1"/>
  <c r="D7" i="2"/>
  <c r="D24" i="2"/>
  <c r="D18" i="2"/>
  <c r="D10" i="2"/>
  <c r="D20" i="2" s="1"/>
  <c r="D25" i="2" s="1"/>
  <c r="C66" i="2"/>
  <c r="C56" i="2"/>
  <c r="C41" i="2"/>
  <c r="C37" i="2"/>
  <c r="C50" i="2" s="1"/>
  <c r="C24" i="2"/>
  <c r="C18" i="2"/>
  <c r="C7" i="2"/>
  <c r="C3" i="2" s="1"/>
  <c r="C10" i="2" s="1"/>
  <c r="C20" i="2" s="1"/>
  <c r="Q9" i="1"/>
  <c r="Q6" i="1"/>
  <c r="P34" i="2" l="1"/>
  <c r="Q34" i="2" s="1"/>
  <c r="G31" i="2"/>
  <c r="G28" i="2"/>
  <c r="D28" i="2"/>
  <c r="E29" i="2" s="1"/>
  <c r="D31" i="2"/>
  <c r="E31" i="2"/>
  <c r="E28" i="2"/>
  <c r="F29" i="2" s="1"/>
  <c r="F31" i="2"/>
  <c r="F28" i="2"/>
  <c r="G29" i="2" s="1"/>
  <c r="C72" i="2"/>
  <c r="C25" i="2"/>
  <c r="P35" i="2" l="1"/>
  <c r="C28" i="2"/>
  <c r="C31" i="2"/>
  <c r="C29" i="2" l="1"/>
  <c r="D29" i="2"/>
</calcChain>
</file>

<file path=xl/sharedStrings.xml><?xml version="1.0" encoding="utf-8"?>
<sst xmlns="http://schemas.openxmlformats.org/spreadsheetml/2006/main" count="104" uniqueCount="98">
  <si>
    <t>Incorporated in 1993</t>
  </si>
  <si>
    <t>Services in Broking and Distribution, Investment Banking, Financial services</t>
  </si>
  <si>
    <t>Branch offices</t>
  </si>
  <si>
    <t>Project Offices</t>
  </si>
  <si>
    <t>States and UT</t>
  </si>
  <si>
    <t>Clientele</t>
  </si>
  <si>
    <t>1.2M</t>
  </si>
  <si>
    <t>Stock Broking AUM</t>
  </si>
  <si>
    <t>465B</t>
  </si>
  <si>
    <t xml:space="preserve">Loan Portfolio </t>
  </si>
  <si>
    <t>754B</t>
  </si>
  <si>
    <t>Broking &amp; Distribution ~65%,</t>
  </si>
  <si>
    <t>Advisory ~23%,</t>
  </si>
  <si>
    <t>NBFC ~12%</t>
  </si>
  <si>
    <t>Segment Revenue - FY24</t>
  </si>
  <si>
    <t>Price</t>
  </si>
  <si>
    <t>Shares</t>
  </si>
  <si>
    <t>MC</t>
  </si>
  <si>
    <t>Cash</t>
  </si>
  <si>
    <t>Debt</t>
  </si>
  <si>
    <t>EV</t>
  </si>
  <si>
    <t xml:space="preserve">Kamal Poddar </t>
  </si>
  <si>
    <t>MD</t>
  </si>
  <si>
    <t>2019-20</t>
  </si>
  <si>
    <t>Revenue</t>
  </si>
  <si>
    <t>Sale of Servies</t>
  </si>
  <si>
    <t>Interest Income</t>
  </si>
  <si>
    <t>Income from Business support services</t>
  </si>
  <si>
    <t>Other Income</t>
  </si>
  <si>
    <t xml:space="preserve">Total Income </t>
  </si>
  <si>
    <t>Expenses</t>
  </si>
  <si>
    <t>Operating Expenses</t>
  </si>
  <si>
    <t>Employee benefir expense</t>
  </si>
  <si>
    <t>Finance cost</t>
  </si>
  <si>
    <t>Depreciation</t>
  </si>
  <si>
    <t>Other expenses</t>
  </si>
  <si>
    <t>Total Expenses</t>
  </si>
  <si>
    <t>PBT</t>
  </si>
  <si>
    <t>Current Tax</t>
  </si>
  <si>
    <t>Earlier year tax</t>
  </si>
  <si>
    <t>Deffered Tax</t>
  </si>
  <si>
    <t>Total tax</t>
  </si>
  <si>
    <t>PAT</t>
  </si>
  <si>
    <t>EPS</t>
  </si>
  <si>
    <t>Balance sheet</t>
  </si>
  <si>
    <t>Assets</t>
  </si>
  <si>
    <t>PPE</t>
  </si>
  <si>
    <t>Investment Property</t>
  </si>
  <si>
    <t>Goodwill</t>
  </si>
  <si>
    <t>OIA</t>
  </si>
  <si>
    <t xml:space="preserve">Investment </t>
  </si>
  <si>
    <t>Loans</t>
  </si>
  <si>
    <t>Other FA</t>
  </si>
  <si>
    <t>Income Tax, deffered</t>
  </si>
  <si>
    <t>Current Assets</t>
  </si>
  <si>
    <t>Securities held to trade</t>
  </si>
  <si>
    <t>Cash and cash</t>
  </si>
  <si>
    <t>Bank Balance</t>
  </si>
  <si>
    <t>Other CA</t>
  </si>
  <si>
    <t>Total Assets</t>
  </si>
  <si>
    <t>NCA</t>
  </si>
  <si>
    <t>Liab and Capital</t>
  </si>
  <si>
    <t>ESC</t>
  </si>
  <si>
    <t>Capital</t>
  </si>
  <si>
    <t>Total Capital</t>
  </si>
  <si>
    <t>NCL</t>
  </si>
  <si>
    <t>Borrowing</t>
  </si>
  <si>
    <t>Other FL</t>
  </si>
  <si>
    <t>Provisions</t>
  </si>
  <si>
    <t>Deffered Tax liab</t>
  </si>
  <si>
    <t>Other Non CL</t>
  </si>
  <si>
    <t>CL</t>
  </si>
  <si>
    <t>Trade Payable</t>
  </si>
  <si>
    <t>Other Current Liab</t>
  </si>
  <si>
    <t>Provisons</t>
  </si>
  <si>
    <t>Total Liabilities</t>
  </si>
  <si>
    <t>2020-21</t>
  </si>
  <si>
    <t>2021-22</t>
  </si>
  <si>
    <t>2022-23</t>
  </si>
  <si>
    <t>2023-24</t>
  </si>
  <si>
    <t xml:space="preserve">Delayed Payment, other charges </t>
  </si>
  <si>
    <t>2024-25</t>
  </si>
  <si>
    <t>Q1</t>
  </si>
  <si>
    <t>Q2</t>
  </si>
  <si>
    <t>Q3</t>
  </si>
  <si>
    <t>Discount</t>
  </si>
  <si>
    <t>ROIC</t>
  </si>
  <si>
    <t>Terminal</t>
  </si>
  <si>
    <t>NPV</t>
  </si>
  <si>
    <t>Choice</t>
  </si>
  <si>
    <t>Extremely Costly</t>
  </si>
  <si>
    <t>2025-26</t>
  </si>
  <si>
    <t>2026-27</t>
  </si>
  <si>
    <t>2027-28</t>
  </si>
  <si>
    <t>2028-29</t>
  </si>
  <si>
    <t>2029-30</t>
  </si>
  <si>
    <t>Trade rec, Investment</t>
  </si>
  <si>
    <t>Other Eq, Non 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</si>
</sst>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43" fontId="0" fillId="0" borderId="0" xfId="1" applyFont="1" applyFill="1"/>
    <xf numFmtId="9" fontId="0" fillId="0" borderId="0" xfId="0" applyNumberFormat="1"/>
    <xf numFmtId="3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Model!$F$76:$I$76</c:f>
              <c:numCache>
                <c:formatCode>General</c:formatCode>
                <c:ptCount val="3"/>
                <c:pt idx="0">
                  <c:v>80</c:v>
                </c:pt>
                <c:pt idx="1">
                  <c:v>160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0-4050-ACA3-B842B29A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7359"/>
        <c:axId val="362936399"/>
      </c:lineChart>
      <c:catAx>
        <c:axId val="3629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6399"/>
        <c:crosses val="autoZero"/>
        <c:auto val="1"/>
        <c:lblAlgn val="ctr"/>
        <c:lblOffset val="100"/>
        <c:noMultiLvlLbl val="0"/>
      </c:catAx>
      <c:valAx>
        <c:axId val="3629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2537182852144"/>
          <c:y val="0.20453703703703704"/>
          <c:w val="0.86486351706036746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Model!$C$25:$H$25</c:f>
              <c:numCache>
                <c:formatCode>0.00</c:formatCode>
                <c:ptCount val="6"/>
                <c:pt idx="0">
                  <c:v>1243.1099999999972</c:v>
                </c:pt>
                <c:pt idx="1">
                  <c:v>1670.9999999999991</c:v>
                </c:pt>
                <c:pt idx="2">
                  <c:v>5360.449999999998</c:v>
                </c:pt>
                <c:pt idx="3">
                  <c:v>6006.7900000000036</c:v>
                </c:pt>
                <c:pt idx="4">
                  <c:v>13085.880000000005</c:v>
                </c:pt>
                <c:pt idx="5">
                  <c:v>14559.586666666672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8-4D49-990A-8476810F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48719"/>
        <c:axId val="522949199"/>
      </c:lineChart>
      <c:catAx>
        <c:axId val="5229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9199"/>
        <c:crosses val="autoZero"/>
        <c:auto val="1"/>
        <c:lblAlgn val="ctr"/>
        <c:lblOffset val="100"/>
        <c:noMultiLvlLbl val="0"/>
      </c:catAx>
      <c:valAx>
        <c:axId val="522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br>
              <a:rPr lang="en-US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370663249535"/>
          <c:y val="0.21074001309757695"/>
          <c:w val="0.82002422341746894"/>
          <c:h val="0.493266092229630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Model!$C$31:$G$31</c:f>
              <c:numCache>
                <c:formatCode>_(* #,##0.00_);_(* \(#,##0.00\);_(* "-"??_);_(@_)</c:formatCode>
                <c:ptCount val="5"/>
                <c:pt idx="0">
                  <c:v>5.8568197879858523</c:v>
                </c:pt>
                <c:pt idx="1">
                  <c:v>7.8727915194346245</c:v>
                </c:pt>
                <c:pt idx="2">
                  <c:v>25.255359246171956</c:v>
                </c:pt>
                <c:pt idx="3">
                  <c:v>28.300541813898722</c:v>
                </c:pt>
                <c:pt idx="4">
                  <c:v>61.653144876325108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A-4565-A186-68549120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13039"/>
        <c:axId val="529113519"/>
      </c:lineChart>
      <c:catAx>
        <c:axId val="5291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3519"/>
        <c:crosses val="autoZero"/>
        <c:auto val="1"/>
        <c:lblAlgn val="ctr"/>
        <c:lblOffset val="100"/>
        <c:noMultiLvlLbl val="0"/>
      </c:catAx>
      <c:valAx>
        <c:axId val="5291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78</xdr:row>
      <xdr:rowOff>38100</xdr:rowOff>
    </xdr:from>
    <xdr:to>
      <xdr:col>13</xdr:col>
      <xdr:colOff>281940</xdr:colOff>
      <xdr:row>89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CEB49-0194-2540-AD75-870AEC906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78</xdr:row>
      <xdr:rowOff>34290</xdr:rowOff>
    </xdr:from>
    <xdr:to>
      <xdr:col>6</xdr:col>
      <xdr:colOff>99060</xdr:colOff>
      <xdr:row>89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D05C5-B4CA-4FA2-7FE6-33678952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78</xdr:row>
      <xdr:rowOff>49530</xdr:rowOff>
    </xdr:from>
    <xdr:to>
      <xdr:col>19</xdr:col>
      <xdr:colOff>411480</xdr:colOff>
      <xdr:row>88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48EC99-626E-6832-24D7-BC02FE75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7"/>
  <sheetViews>
    <sheetView tabSelected="1" workbookViewId="0">
      <selection activeCell="H14" sqref="H14"/>
    </sheetView>
  </sheetViews>
  <sheetFormatPr defaultRowHeight="14.4" x14ac:dyDescent="0.3"/>
  <cols>
    <col min="2" max="2" width="17.44140625" customWidth="1"/>
    <col min="18" max="18" width="10" bestFit="1" customWidth="1"/>
  </cols>
  <sheetData>
    <row r="1" spans="2:19" x14ac:dyDescent="0.3">
      <c r="Q1" s="10" t="s">
        <v>90</v>
      </c>
      <c r="R1" s="10"/>
      <c r="S1" s="10"/>
    </row>
    <row r="2" spans="2:19" x14ac:dyDescent="0.3">
      <c r="B2" t="s">
        <v>89</v>
      </c>
      <c r="Q2" s="10"/>
      <c r="R2" s="10"/>
      <c r="S2" s="10"/>
    </row>
    <row r="4" spans="2:19" x14ac:dyDescent="0.3">
      <c r="B4" t="s">
        <v>0</v>
      </c>
      <c r="P4" t="s">
        <v>15</v>
      </c>
      <c r="Q4">
        <v>544</v>
      </c>
    </row>
    <row r="5" spans="2:19" x14ac:dyDescent="0.3">
      <c r="B5" t="s">
        <v>1</v>
      </c>
      <c r="P5" t="s">
        <v>16</v>
      </c>
      <c r="Q5">
        <v>20</v>
      </c>
      <c r="R5">
        <f>Q5*10000000</f>
        <v>200000000</v>
      </c>
    </row>
    <row r="6" spans="2:19" x14ac:dyDescent="0.3">
      <c r="P6" t="s">
        <v>17</v>
      </c>
      <c r="Q6">
        <f>Q4*Q5</f>
        <v>10880</v>
      </c>
      <c r="R6">
        <f>R5/100000</f>
        <v>2000</v>
      </c>
    </row>
    <row r="7" spans="2:19" x14ac:dyDescent="0.3">
      <c r="B7" t="s">
        <v>2</v>
      </c>
      <c r="C7">
        <v>194</v>
      </c>
      <c r="P7" t="s">
        <v>18</v>
      </c>
      <c r="Q7">
        <v>455</v>
      </c>
    </row>
    <row r="8" spans="2:19" x14ac:dyDescent="0.3">
      <c r="B8" t="s">
        <v>3</v>
      </c>
      <c r="C8">
        <v>51</v>
      </c>
      <c r="P8" t="s">
        <v>19</v>
      </c>
      <c r="Q8">
        <v>498</v>
      </c>
    </row>
    <row r="9" spans="2:19" x14ac:dyDescent="0.3">
      <c r="B9" t="s">
        <v>4</v>
      </c>
      <c r="C9">
        <v>23</v>
      </c>
      <c r="P9" t="s">
        <v>20</v>
      </c>
      <c r="Q9">
        <f>+Q6-Q7+Q8</f>
        <v>10923</v>
      </c>
    </row>
    <row r="10" spans="2:19" x14ac:dyDescent="0.3">
      <c r="B10" t="s">
        <v>5</v>
      </c>
      <c r="C10" t="s">
        <v>6</v>
      </c>
    </row>
    <row r="11" spans="2:19" x14ac:dyDescent="0.3">
      <c r="B11" t="s">
        <v>7</v>
      </c>
      <c r="C11" t="s">
        <v>8</v>
      </c>
    </row>
    <row r="12" spans="2:19" x14ac:dyDescent="0.3">
      <c r="B12" t="s">
        <v>9</v>
      </c>
      <c r="C12" t="s">
        <v>10</v>
      </c>
    </row>
    <row r="14" spans="2:19" x14ac:dyDescent="0.3">
      <c r="B14" t="s">
        <v>14</v>
      </c>
    </row>
    <row r="15" spans="2:19" x14ac:dyDescent="0.3">
      <c r="B15" t="s">
        <v>11</v>
      </c>
    </row>
    <row r="16" spans="2:19" x14ac:dyDescent="0.3">
      <c r="B16" t="s">
        <v>12</v>
      </c>
    </row>
    <row r="17" spans="2:9" x14ac:dyDescent="0.3">
      <c r="B17" t="s">
        <v>13</v>
      </c>
      <c r="H17" s="1" t="s">
        <v>22</v>
      </c>
      <c r="I17" s="1" t="s">
        <v>21</v>
      </c>
    </row>
  </sheetData>
  <mergeCells count="1">
    <mergeCell ref="Q1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BB5E-E68D-4CCF-9D66-A21904265458}">
  <dimension ref="A2:HN76"/>
  <sheetViews>
    <sheetView topLeftCell="A13" workbookViewId="0">
      <selection activeCell="P34" sqref="P34"/>
    </sheetView>
  </sheetViews>
  <sheetFormatPr defaultRowHeight="14.4" x14ac:dyDescent="0.3"/>
  <cols>
    <col min="2" max="2" width="22.6640625" bestFit="1" customWidth="1"/>
    <col min="3" max="4" width="9" bestFit="1" customWidth="1"/>
    <col min="5" max="5" width="9.21875" bestFit="1" customWidth="1"/>
    <col min="6" max="8" width="9" bestFit="1" customWidth="1"/>
    <col min="9" max="9" width="9.109375" hidden="1" customWidth="1"/>
    <col min="10" max="10" width="10.109375" hidden="1" customWidth="1"/>
    <col min="11" max="11" width="0" hidden="1" customWidth="1"/>
    <col min="12" max="142" width="9" bestFit="1" customWidth="1"/>
    <col min="143" max="220" width="9.5546875" bestFit="1" customWidth="1"/>
    <col min="221" max="298" width="10.5546875" bestFit="1" customWidth="1"/>
    <col min="299" max="376" width="11.5546875" bestFit="1" customWidth="1"/>
    <col min="377" max="453" width="12.5546875" bestFit="1" customWidth="1"/>
    <col min="454" max="531" width="13.6640625" bestFit="1" customWidth="1"/>
    <col min="532" max="609" width="14.6640625" bestFit="1" customWidth="1"/>
    <col min="610" max="687" width="15.6640625" bestFit="1" customWidth="1"/>
    <col min="688" max="765" width="16.6640625" bestFit="1" customWidth="1"/>
    <col min="766" max="843" width="17.77734375" bestFit="1" customWidth="1"/>
    <col min="844" max="921" width="18.77734375" bestFit="1" customWidth="1"/>
    <col min="922" max="999" width="19.77734375" bestFit="1" customWidth="1"/>
    <col min="1000" max="1077" width="20.77734375" bestFit="1" customWidth="1"/>
    <col min="1078" max="1154" width="21.88671875" bestFit="1" customWidth="1"/>
    <col min="1155" max="1232" width="22.88671875" bestFit="1" customWidth="1"/>
    <col min="1233" max="1310" width="23.88671875" bestFit="1" customWidth="1"/>
    <col min="1311" max="1388" width="24.88671875" bestFit="1" customWidth="1"/>
    <col min="1389" max="1466" width="26" bestFit="1" customWidth="1"/>
    <col min="1467" max="1544" width="27" bestFit="1" customWidth="1"/>
    <col min="1545" max="1622" width="28" bestFit="1" customWidth="1"/>
    <col min="1623" max="1700" width="29" bestFit="1" customWidth="1"/>
    <col min="1701" max="1778" width="30.109375" bestFit="1" customWidth="1"/>
    <col min="1779" max="1856" width="31.109375" bestFit="1" customWidth="1"/>
    <col min="1857" max="1933" width="32.109375" bestFit="1" customWidth="1"/>
    <col min="1934" max="2011" width="33.109375" bestFit="1" customWidth="1"/>
    <col min="2012" max="2089" width="34.21875" bestFit="1" customWidth="1"/>
    <col min="2090" max="2167" width="35.21875" bestFit="1" customWidth="1"/>
    <col min="2168" max="2245" width="36.21875" bestFit="1" customWidth="1"/>
    <col min="2246" max="2323" width="37.21875" bestFit="1" customWidth="1"/>
    <col min="2324" max="2401" width="38.33203125" bestFit="1" customWidth="1"/>
    <col min="2402" max="2479" width="39.33203125" bestFit="1" customWidth="1"/>
    <col min="2480" max="2557" width="40.33203125" bestFit="1" customWidth="1"/>
    <col min="2558" max="2635" width="41.33203125" bestFit="1" customWidth="1"/>
    <col min="2636" max="2712" width="42.44140625" bestFit="1" customWidth="1"/>
    <col min="2713" max="2790" width="43.44140625" bestFit="1" customWidth="1"/>
    <col min="2791" max="2868" width="44.44140625" bestFit="1" customWidth="1"/>
    <col min="2869" max="2946" width="45.44140625" bestFit="1" customWidth="1"/>
    <col min="2947" max="3024" width="46.5546875" bestFit="1" customWidth="1"/>
    <col min="3025" max="3102" width="47.5546875" bestFit="1" customWidth="1"/>
    <col min="3103" max="3180" width="48.5546875" bestFit="1" customWidth="1"/>
    <col min="3181" max="3258" width="49.5546875" bestFit="1" customWidth="1"/>
    <col min="3259" max="3336" width="50.6640625" bestFit="1" customWidth="1"/>
    <col min="3337" max="3414" width="51.6640625" bestFit="1" customWidth="1"/>
    <col min="3415" max="3491" width="52.6640625" bestFit="1" customWidth="1"/>
    <col min="3492" max="3569" width="53.6640625" bestFit="1" customWidth="1"/>
    <col min="3570" max="3647" width="54.77734375" bestFit="1" customWidth="1"/>
    <col min="3648" max="3725" width="55.77734375" bestFit="1" customWidth="1"/>
    <col min="3726" max="3803" width="56.77734375" bestFit="1" customWidth="1"/>
    <col min="3804" max="3881" width="57.77734375" bestFit="1" customWidth="1"/>
    <col min="3882" max="3959" width="58.88671875" bestFit="1" customWidth="1"/>
    <col min="3960" max="4037" width="59.88671875" bestFit="1" customWidth="1"/>
    <col min="4038" max="4115" width="60.88671875" bestFit="1" customWidth="1"/>
    <col min="4116" max="4193" width="61.88671875" bestFit="1" customWidth="1"/>
    <col min="4194" max="4270" width="63" bestFit="1" customWidth="1"/>
    <col min="4271" max="4348" width="64" bestFit="1" customWidth="1"/>
    <col min="4349" max="4426" width="65" bestFit="1" customWidth="1"/>
    <col min="4427" max="4504" width="66" bestFit="1" customWidth="1"/>
    <col min="4505" max="4582" width="67.109375" bestFit="1" customWidth="1"/>
    <col min="4583" max="4660" width="68.109375" bestFit="1" customWidth="1"/>
    <col min="4661" max="4738" width="69.109375" bestFit="1" customWidth="1"/>
    <col min="4739" max="4816" width="70.109375" bestFit="1" customWidth="1"/>
    <col min="4817" max="4894" width="71.21875" bestFit="1" customWidth="1"/>
    <col min="4895" max="4972" width="72.21875" bestFit="1" customWidth="1"/>
    <col min="4973" max="5049" width="73.21875" bestFit="1" customWidth="1"/>
    <col min="5050" max="5127" width="74.21875" bestFit="1" customWidth="1"/>
    <col min="5128" max="5205" width="75.33203125" bestFit="1" customWidth="1"/>
    <col min="5206" max="5283" width="76.33203125" bestFit="1" customWidth="1"/>
    <col min="5284" max="5361" width="77.33203125" bestFit="1" customWidth="1"/>
    <col min="5362" max="5439" width="78.33203125" bestFit="1" customWidth="1"/>
    <col min="5440" max="5517" width="79.44140625" bestFit="1" customWidth="1"/>
    <col min="5518" max="5595" width="80.44140625" bestFit="1" customWidth="1"/>
    <col min="5596" max="5673" width="81.44140625" bestFit="1" customWidth="1"/>
    <col min="5674" max="5751" width="82.44140625" bestFit="1" customWidth="1"/>
    <col min="5752" max="5828" width="83.5546875" bestFit="1" customWidth="1"/>
    <col min="5829" max="5906" width="84.5546875" bestFit="1" customWidth="1"/>
    <col min="5907" max="5984" width="85.5546875" bestFit="1" customWidth="1"/>
    <col min="5985" max="6062" width="86.5546875" bestFit="1" customWidth="1"/>
    <col min="6063" max="6140" width="87.6640625" bestFit="1" customWidth="1"/>
    <col min="6141" max="6218" width="88.6640625" bestFit="1" customWidth="1"/>
    <col min="6219" max="6296" width="89.6640625" bestFit="1" customWidth="1"/>
    <col min="6297" max="6374" width="90.6640625" bestFit="1" customWidth="1"/>
    <col min="6375" max="6452" width="91.77734375" bestFit="1" customWidth="1"/>
    <col min="6453" max="6529" width="92.77734375" bestFit="1" customWidth="1"/>
    <col min="6530" max="6607" width="93.77734375" bestFit="1" customWidth="1"/>
    <col min="6608" max="6685" width="94.77734375" bestFit="1" customWidth="1"/>
    <col min="6686" max="6763" width="95.88671875" bestFit="1" customWidth="1"/>
    <col min="6764" max="6841" width="96.88671875" bestFit="1" customWidth="1"/>
    <col min="6842" max="6919" width="97.88671875" bestFit="1" customWidth="1"/>
    <col min="6920" max="6997" width="98.88671875" bestFit="1" customWidth="1"/>
    <col min="6998" max="7075" width="100" bestFit="1" customWidth="1"/>
    <col min="7076" max="7153" width="101" bestFit="1" customWidth="1"/>
    <col min="7154" max="7231" width="102" bestFit="1" customWidth="1"/>
    <col min="7232" max="7308" width="103" bestFit="1" customWidth="1"/>
    <col min="7309" max="7386" width="104.109375" bestFit="1" customWidth="1"/>
    <col min="7387" max="7464" width="105.109375" bestFit="1" customWidth="1"/>
    <col min="7465" max="7542" width="106.109375" bestFit="1" customWidth="1"/>
    <col min="7543" max="7620" width="107.109375" bestFit="1" customWidth="1"/>
    <col min="7621" max="7698" width="108.21875" bestFit="1" customWidth="1"/>
    <col min="7699" max="7776" width="109.21875" bestFit="1" customWidth="1"/>
    <col min="7777" max="7854" width="110.21875" bestFit="1" customWidth="1"/>
    <col min="7855" max="7932" width="111.21875" bestFit="1" customWidth="1"/>
    <col min="7933" max="8010" width="112.33203125" bestFit="1" customWidth="1"/>
    <col min="8011" max="8087" width="113.33203125" bestFit="1" customWidth="1"/>
    <col min="8088" max="8165" width="114.33203125" bestFit="1" customWidth="1"/>
    <col min="8166" max="8243" width="115.33203125" bestFit="1" customWidth="1"/>
    <col min="8244" max="8321" width="116.44140625" bestFit="1" customWidth="1"/>
    <col min="8322" max="8399" width="117.44140625" bestFit="1" customWidth="1"/>
    <col min="8400" max="8477" width="118.44140625" bestFit="1" customWidth="1"/>
    <col min="8478" max="8555" width="119.44140625" bestFit="1" customWidth="1"/>
    <col min="8556" max="8633" width="120.5546875" bestFit="1" customWidth="1"/>
    <col min="8634" max="8711" width="121.5546875" bestFit="1" customWidth="1"/>
    <col min="8712" max="8789" width="122.5546875" bestFit="1" customWidth="1"/>
    <col min="8790" max="8866" width="123.5546875" bestFit="1" customWidth="1"/>
    <col min="8867" max="8944" width="124.6640625" bestFit="1" customWidth="1"/>
    <col min="8945" max="9022" width="125.6640625" bestFit="1" customWidth="1"/>
    <col min="9023" max="9100" width="126.6640625" bestFit="1" customWidth="1"/>
    <col min="9101" max="9178" width="127.6640625" bestFit="1" customWidth="1"/>
    <col min="9179" max="9256" width="128.77734375" bestFit="1" customWidth="1"/>
    <col min="9257" max="9334" width="129.77734375" bestFit="1" customWidth="1"/>
    <col min="9335" max="9412" width="130.77734375" bestFit="1" customWidth="1"/>
    <col min="9413" max="9490" width="131.77734375" bestFit="1" customWidth="1"/>
    <col min="9491" max="9568" width="132.88671875" bestFit="1" customWidth="1"/>
    <col min="9569" max="9645" width="133.88671875" bestFit="1" customWidth="1"/>
    <col min="9646" max="9723" width="134.88671875" bestFit="1" customWidth="1"/>
    <col min="9724" max="9801" width="135.88671875" bestFit="1" customWidth="1"/>
    <col min="9802" max="9879" width="137" bestFit="1" customWidth="1"/>
    <col min="9880" max="9957" width="138" bestFit="1" customWidth="1"/>
    <col min="9958" max="10035" width="139" bestFit="1" customWidth="1"/>
    <col min="10036" max="10113" width="140" bestFit="1" customWidth="1"/>
    <col min="10114" max="10191" width="141.109375" bestFit="1" customWidth="1"/>
    <col min="10192" max="10269" width="142.109375" bestFit="1" customWidth="1"/>
    <col min="10270" max="10347" width="143.109375" bestFit="1" customWidth="1"/>
    <col min="10348" max="10424" width="144.109375" bestFit="1" customWidth="1"/>
    <col min="10425" max="10502" width="145.21875" bestFit="1" customWidth="1"/>
    <col min="10503" max="10580" width="146.21875" bestFit="1" customWidth="1"/>
    <col min="10581" max="10658" width="147.21875" bestFit="1" customWidth="1"/>
    <col min="10659" max="10736" width="148.21875" bestFit="1" customWidth="1"/>
    <col min="10737" max="10814" width="149.33203125" bestFit="1" customWidth="1"/>
    <col min="10815" max="10892" width="150.33203125" bestFit="1" customWidth="1"/>
    <col min="10893" max="10970" width="151.33203125" bestFit="1" customWidth="1"/>
    <col min="10971" max="11048" width="152.33203125" bestFit="1" customWidth="1"/>
    <col min="11049" max="11125" width="153.44140625" bestFit="1" customWidth="1"/>
    <col min="11126" max="11203" width="154.44140625" bestFit="1" customWidth="1"/>
    <col min="11204" max="11281" width="155.44140625" bestFit="1" customWidth="1"/>
    <col min="11282" max="11359" width="156.44140625" bestFit="1" customWidth="1"/>
    <col min="11360" max="11437" width="157.5546875" bestFit="1" customWidth="1"/>
    <col min="11438" max="11515" width="158.5546875" bestFit="1" customWidth="1"/>
    <col min="11516" max="11593" width="159.5546875" bestFit="1" customWidth="1"/>
    <col min="11594" max="11671" width="160.5546875" bestFit="1" customWidth="1"/>
    <col min="11672" max="11749" width="161.6640625" bestFit="1" customWidth="1"/>
    <col min="11750" max="11827" width="162.6640625" bestFit="1" customWidth="1"/>
    <col min="11828" max="11904" width="163.6640625" bestFit="1" customWidth="1"/>
    <col min="11905" max="11982" width="164.6640625" bestFit="1" customWidth="1"/>
    <col min="11983" max="12060" width="165.77734375" bestFit="1" customWidth="1"/>
    <col min="12061" max="12138" width="166.77734375" bestFit="1" customWidth="1"/>
    <col min="12139" max="12216" width="167.77734375" bestFit="1" customWidth="1"/>
    <col min="12217" max="12294" width="168.77734375" bestFit="1" customWidth="1"/>
    <col min="12295" max="12372" width="169.88671875" bestFit="1" customWidth="1"/>
    <col min="12373" max="12450" width="170.88671875" bestFit="1" customWidth="1"/>
    <col min="12451" max="12528" width="171.88671875" bestFit="1" customWidth="1"/>
    <col min="12529" max="12606" width="172.88671875" bestFit="1" customWidth="1"/>
    <col min="12607" max="12683" width="174" bestFit="1" customWidth="1"/>
    <col min="12684" max="12761" width="175" bestFit="1" customWidth="1"/>
    <col min="12762" max="12839" width="176" bestFit="1" customWidth="1"/>
    <col min="12840" max="12917" width="177" bestFit="1" customWidth="1"/>
    <col min="12918" max="12995" width="178.109375" bestFit="1" customWidth="1"/>
    <col min="12996" max="13073" width="179.109375" bestFit="1" customWidth="1"/>
    <col min="13074" max="13151" width="180.109375" bestFit="1" customWidth="1"/>
    <col min="13152" max="13229" width="181.109375" bestFit="1" customWidth="1"/>
    <col min="13230" max="13307" width="182.21875" bestFit="1" customWidth="1"/>
    <col min="13308" max="13385" width="183.21875" bestFit="1" customWidth="1"/>
    <col min="13386" max="13462" width="184.21875" bestFit="1" customWidth="1"/>
    <col min="13463" max="13540" width="185.21875" bestFit="1" customWidth="1"/>
    <col min="13541" max="13618" width="186.33203125" bestFit="1" customWidth="1"/>
    <col min="13619" max="13696" width="187.33203125" bestFit="1" customWidth="1"/>
    <col min="13697" max="13774" width="188.33203125" bestFit="1" customWidth="1"/>
    <col min="13775" max="13852" width="189.33203125" bestFit="1" customWidth="1"/>
    <col min="13853" max="13930" width="190.44140625" bestFit="1" customWidth="1"/>
    <col min="13931" max="14008" width="191.44140625" bestFit="1" customWidth="1"/>
    <col min="14009" max="14086" width="192.44140625" bestFit="1" customWidth="1"/>
    <col min="14087" max="14164" width="193.44140625" bestFit="1" customWidth="1"/>
    <col min="14165" max="14241" width="194.5546875" bestFit="1" customWidth="1"/>
    <col min="14242" max="14319" width="195.5546875" bestFit="1" customWidth="1"/>
    <col min="14320" max="14397" width="196.5546875" bestFit="1" customWidth="1"/>
    <col min="14398" max="14475" width="197.5546875" bestFit="1" customWidth="1"/>
    <col min="14476" max="14553" width="198.6640625" bestFit="1" customWidth="1"/>
    <col min="14554" max="14631" width="199.6640625" bestFit="1" customWidth="1"/>
    <col min="14632" max="14709" width="200.6640625" bestFit="1" customWidth="1"/>
    <col min="14710" max="14787" width="201.6640625" bestFit="1" customWidth="1"/>
    <col min="14788" max="14865" width="202.77734375" bestFit="1" customWidth="1"/>
    <col min="14866" max="14943" width="203.77734375" bestFit="1" customWidth="1"/>
    <col min="14944" max="15020" width="204.77734375" bestFit="1" customWidth="1"/>
    <col min="15021" max="15098" width="205.77734375" bestFit="1" customWidth="1"/>
    <col min="15099" max="15176" width="206.88671875" bestFit="1" customWidth="1"/>
    <col min="15177" max="15254" width="207.88671875" bestFit="1" customWidth="1"/>
    <col min="15255" max="15332" width="208.88671875" bestFit="1" customWidth="1"/>
    <col min="15333" max="15410" width="209.88671875" bestFit="1" customWidth="1"/>
    <col min="15411" max="15488" width="211" bestFit="1" customWidth="1"/>
    <col min="15489" max="15566" width="212" bestFit="1" customWidth="1"/>
    <col min="15567" max="15644" width="213" bestFit="1" customWidth="1"/>
    <col min="15645" max="15722" width="214" bestFit="1" customWidth="1"/>
    <col min="15723" max="15799" width="215.109375" bestFit="1" customWidth="1"/>
    <col min="15800" max="15877" width="216.109375" bestFit="1" customWidth="1"/>
    <col min="15878" max="15955" width="217.109375" bestFit="1" customWidth="1"/>
    <col min="15956" max="16033" width="218.109375" bestFit="1" customWidth="1"/>
    <col min="16034" max="16111" width="219.21875" bestFit="1" customWidth="1"/>
    <col min="16112" max="16189" width="220.21875" bestFit="1" customWidth="1"/>
    <col min="16190" max="16267" width="221.21875" bestFit="1" customWidth="1"/>
    <col min="16268" max="16345" width="222.21875" bestFit="1" customWidth="1"/>
    <col min="16346" max="16384" width="223.33203125" bestFit="1" customWidth="1"/>
  </cols>
  <sheetData>
    <row r="2" spans="2:16" x14ac:dyDescent="0.3">
      <c r="C2" s="1" t="s">
        <v>23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81</v>
      </c>
      <c r="I2" s="1" t="s">
        <v>82</v>
      </c>
      <c r="J2" s="1" t="s">
        <v>83</v>
      </c>
      <c r="K2" s="1" t="s">
        <v>84</v>
      </c>
      <c r="L2" s="1" t="s">
        <v>91</v>
      </c>
      <c r="M2" s="1" t="s">
        <v>92</v>
      </c>
      <c r="N2" s="1" t="s">
        <v>93</v>
      </c>
      <c r="O2" s="1" t="s">
        <v>94</v>
      </c>
      <c r="P2" s="1" t="s">
        <v>95</v>
      </c>
    </row>
    <row r="3" spans="2:16" x14ac:dyDescent="0.3">
      <c r="B3" s="1" t="s">
        <v>24</v>
      </c>
      <c r="C3" s="1">
        <f>+C4+C5+C6+C7</f>
        <v>12695.73</v>
      </c>
      <c r="D3" s="1">
        <v>16874.349999999999</v>
      </c>
      <c r="E3" s="1">
        <v>27181.8</v>
      </c>
      <c r="F3" s="1">
        <v>38507.47</v>
      </c>
      <c r="G3" s="1">
        <v>75068.47</v>
      </c>
      <c r="I3" s="1">
        <v>20064.490000000002</v>
      </c>
      <c r="J3" s="1">
        <v>24739.31</v>
      </c>
      <c r="K3" s="1">
        <v>20934.38</v>
      </c>
    </row>
    <row r="4" spans="2:16" x14ac:dyDescent="0.3">
      <c r="B4" t="s">
        <v>25</v>
      </c>
      <c r="C4">
        <v>9247.7999999999993</v>
      </c>
      <c r="D4">
        <v>12621.56</v>
      </c>
      <c r="E4">
        <v>20806.060000000001</v>
      </c>
      <c r="F4">
        <v>28737.4</v>
      </c>
      <c r="G4">
        <v>58821.38</v>
      </c>
    </row>
    <row r="5" spans="2:16" x14ac:dyDescent="0.3">
      <c r="B5" t="s">
        <v>26</v>
      </c>
      <c r="C5">
        <v>1418.33</v>
      </c>
      <c r="D5">
        <v>2829.11</v>
      </c>
      <c r="E5">
        <v>3940.66</v>
      </c>
      <c r="F5">
        <v>7692.33</v>
      </c>
      <c r="G5">
        <v>14640.33</v>
      </c>
    </row>
    <row r="6" spans="2:16" ht="43.2" x14ac:dyDescent="0.3">
      <c r="B6" s="2" t="s">
        <v>27</v>
      </c>
      <c r="C6">
        <v>245.81</v>
      </c>
      <c r="D6">
        <v>190.34</v>
      </c>
      <c r="E6">
        <v>184.27</v>
      </c>
      <c r="F6">
        <v>644.91999999999996</v>
      </c>
      <c r="G6">
        <v>695.87</v>
      </c>
    </row>
    <row r="7" spans="2:16" ht="28.8" x14ac:dyDescent="0.3">
      <c r="B7" s="2" t="s">
        <v>80</v>
      </c>
      <c r="C7">
        <f>15.6-186.27+617.76+1142.01+194.69</f>
        <v>1783.79</v>
      </c>
      <c r="D7">
        <f>15.6+62.92+842.99+311.83</f>
        <v>1233.3399999999999</v>
      </c>
      <c r="E7">
        <f>790.27+1053.04+407.5</f>
        <v>2250.81</v>
      </c>
      <c r="F7">
        <f>195.64+258.01+979.17</f>
        <v>1432.82</v>
      </c>
      <c r="G7">
        <f>800.82+110.07</f>
        <v>910.8900000000001</v>
      </c>
    </row>
    <row r="9" spans="2:16" x14ac:dyDescent="0.3">
      <c r="B9" t="s">
        <v>28</v>
      </c>
      <c r="C9">
        <v>539.88</v>
      </c>
      <c r="D9">
        <v>707.23</v>
      </c>
      <c r="E9">
        <v>1413.79</v>
      </c>
      <c r="F9">
        <v>1010.12</v>
      </c>
      <c r="G9">
        <v>865.1</v>
      </c>
      <c r="I9">
        <v>529.5</v>
      </c>
      <c r="J9">
        <v>181.22</v>
      </c>
      <c r="K9">
        <v>214.18</v>
      </c>
    </row>
    <row r="10" spans="2:16" x14ac:dyDescent="0.3">
      <c r="B10" s="1" t="s">
        <v>29</v>
      </c>
      <c r="C10" s="1">
        <f>+C9+C3</f>
        <v>13235.609999999999</v>
      </c>
      <c r="D10" s="1">
        <f>+D9+D3</f>
        <v>17581.579999999998</v>
      </c>
      <c r="E10" s="1">
        <f>+E9+E3</f>
        <v>28595.59</v>
      </c>
      <c r="F10" s="1">
        <f>+F9+F3</f>
        <v>39517.590000000004</v>
      </c>
      <c r="G10" s="1">
        <f>+G9+G3</f>
        <v>75933.570000000007</v>
      </c>
      <c r="I10" s="1">
        <f>+I9+I3</f>
        <v>20593.990000000002</v>
      </c>
      <c r="J10" s="1">
        <f>+J9+J3</f>
        <v>24920.530000000002</v>
      </c>
      <c r="K10" s="1">
        <f>+K9+K3</f>
        <v>21148.560000000001</v>
      </c>
    </row>
    <row r="12" spans="2:16" x14ac:dyDescent="0.3">
      <c r="B12" t="s">
        <v>30</v>
      </c>
    </row>
    <row r="13" spans="2:16" x14ac:dyDescent="0.3">
      <c r="B13" t="s">
        <v>31</v>
      </c>
      <c r="C13">
        <v>2696.58</v>
      </c>
      <c r="D13">
        <v>7648.43</v>
      </c>
      <c r="E13">
        <v>11236.48</v>
      </c>
    </row>
    <row r="14" spans="2:16" x14ac:dyDescent="0.3">
      <c r="B14" t="s">
        <v>32</v>
      </c>
      <c r="C14">
        <v>4746.16</v>
      </c>
      <c r="D14">
        <v>4193.8</v>
      </c>
      <c r="E14">
        <v>5695.04</v>
      </c>
      <c r="F14">
        <v>10895.89</v>
      </c>
      <c r="G14">
        <v>22105.29</v>
      </c>
      <c r="I14">
        <v>6795.34</v>
      </c>
      <c r="J14">
        <v>6957.34</v>
      </c>
      <c r="K14">
        <v>6551.57</v>
      </c>
    </row>
    <row r="15" spans="2:16" x14ac:dyDescent="0.3">
      <c r="B15" t="s">
        <v>33</v>
      </c>
      <c r="C15">
        <v>1729.76</v>
      </c>
      <c r="D15">
        <v>1545.75</v>
      </c>
      <c r="E15">
        <v>1533.12</v>
      </c>
      <c r="F15">
        <v>2192.3000000000002</v>
      </c>
      <c r="G15">
        <v>4037.39</v>
      </c>
      <c r="I15">
        <v>1316.05</v>
      </c>
      <c r="J15">
        <v>1505.07</v>
      </c>
      <c r="K15">
        <v>1629.88</v>
      </c>
    </row>
    <row r="16" spans="2:16" x14ac:dyDescent="0.3">
      <c r="B16" t="s">
        <v>34</v>
      </c>
      <c r="C16">
        <v>345.54</v>
      </c>
      <c r="D16">
        <v>308.74</v>
      </c>
      <c r="E16">
        <v>337.63</v>
      </c>
      <c r="F16">
        <v>479.81</v>
      </c>
      <c r="G16">
        <v>659.94</v>
      </c>
      <c r="I16">
        <v>168.04</v>
      </c>
      <c r="J16">
        <v>196.62</v>
      </c>
      <c r="K16">
        <v>208.49</v>
      </c>
    </row>
    <row r="17" spans="1:222" x14ac:dyDescent="0.3">
      <c r="B17" t="s">
        <v>35</v>
      </c>
      <c r="C17">
        <v>1897.2</v>
      </c>
      <c r="D17">
        <v>1603.31</v>
      </c>
      <c r="E17">
        <v>2429.7399999999998</v>
      </c>
      <c r="F17">
        <v>17754.43</v>
      </c>
      <c r="G17">
        <v>31051.29</v>
      </c>
      <c r="I17">
        <v>7974.59</v>
      </c>
      <c r="J17">
        <v>10197.530000000001</v>
      </c>
      <c r="K17">
        <v>8427.56</v>
      </c>
    </row>
    <row r="18" spans="1:222" x14ac:dyDescent="0.3">
      <c r="B18" s="1" t="s">
        <v>36</v>
      </c>
      <c r="C18" s="1">
        <f>SUM(C13:C17)</f>
        <v>11415.240000000002</v>
      </c>
      <c r="D18" s="1">
        <f>SUM(D13:D17)</f>
        <v>15300.029999999999</v>
      </c>
      <c r="E18" s="1">
        <f>SUM(E13:E17)</f>
        <v>21232.010000000002</v>
      </c>
      <c r="F18" s="1">
        <f>SUM(F13:F17)</f>
        <v>31322.43</v>
      </c>
      <c r="G18" s="1">
        <f>SUM(G13:G17)</f>
        <v>57853.91</v>
      </c>
      <c r="I18" s="1">
        <f>SUM(I13:I17)</f>
        <v>16254.02</v>
      </c>
      <c r="J18" s="1">
        <f>SUM(J13:J17)</f>
        <v>18856.560000000001</v>
      </c>
      <c r="K18" s="1">
        <f>SUM(K13:K17)</f>
        <v>16817.5</v>
      </c>
    </row>
    <row r="20" spans="1:222" x14ac:dyDescent="0.3">
      <c r="B20" s="1" t="s">
        <v>37</v>
      </c>
      <c r="C20" s="1">
        <f>+C10-C18</f>
        <v>1820.3699999999972</v>
      </c>
      <c r="D20" s="1">
        <f>+D10-D18</f>
        <v>2281.5499999999993</v>
      </c>
      <c r="E20" s="1">
        <f>+E10-E18</f>
        <v>7363.5799999999981</v>
      </c>
      <c r="F20" s="1">
        <f>+F10-F18</f>
        <v>8195.1600000000035</v>
      </c>
      <c r="G20" s="1">
        <f>+G10-G18</f>
        <v>18079.660000000003</v>
      </c>
      <c r="I20" s="1">
        <f>+I10-I18</f>
        <v>4339.9700000000012</v>
      </c>
      <c r="J20" s="1">
        <f>+J10-J18</f>
        <v>6063.9700000000012</v>
      </c>
      <c r="K20" s="1">
        <f>+K10-K18</f>
        <v>4331.0600000000013</v>
      </c>
    </row>
    <row r="21" spans="1:222" x14ac:dyDescent="0.3">
      <c r="B21" t="s">
        <v>38</v>
      </c>
      <c r="C21">
        <v>480.5</v>
      </c>
      <c r="D21">
        <v>1002.22</v>
      </c>
      <c r="E21">
        <v>1871.96</v>
      </c>
      <c r="F21">
        <v>2306.6</v>
      </c>
      <c r="G21">
        <v>4940.55</v>
      </c>
      <c r="I21">
        <v>1241.44</v>
      </c>
      <c r="J21">
        <v>1592.04</v>
      </c>
      <c r="K21">
        <v>1275.53</v>
      </c>
    </row>
    <row r="22" spans="1:222" x14ac:dyDescent="0.3">
      <c r="B22" s="1" t="s">
        <v>39</v>
      </c>
      <c r="C22">
        <v>-18.3</v>
      </c>
      <c r="D22">
        <v>12.84</v>
      </c>
      <c r="E22">
        <v>87.41</v>
      </c>
      <c r="F22">
        <v>34.47</v>
      </c>
      <c r="G22">
        <v>43.11</v>
      </c>
      <c r="I22">
        <v>1.41</v>
      </c>
      <c r="J22">
        <v>8.85</v>
      </c>
      <c r="K22">
        <v>-10.5</v>
      </c>
    </row>
    <row r="23" spans="1:222" x14ac:dyDescent="0.3">
      <c r="B23" t="s">
        <v>40</v>
      </c>
      <c r="C23">
        <v>115.06</v>
      </c>
      <c r="D23">
        <v>-404.51</v>
      </c>
      <c r="E23">
        <v>43.76</v>
      </c>
      <c r="F23">
        <v>-152.69999999999999</v>
      </c>
      <c r="G23">
        <v>10.119999999999999</v>
      </c>
      <c r="I23">
        <v>-103.89</v>
      </c>
      <c r="J23">
        <v>-181.94</v>
      </c>
      <c r="K23">
        <v>-7.63</v>
      </c>
    </row>
    <row r="24" spans="1:222" x14ac:dyDescent="0.3">
      <c r="B24" s="1" t="s">
        <v>41</v>
      </c>
      <c r="C24">
        <f>+C21+C22+C23</f>
        <v>577.26</v>
      </c>
      <c r="D24">
        <f>+D21+D22+D23</f>
        <v>610.55000000000007</v>
      </c>
      <c r="E24">
        <f>+E21+E22+E23</f>
        <v>2003.13</v>
      </c>
      <c r="F24">
        <f>+F21+F22+F23</f>
        <v>2188.37</v>
      </c>
      <c r="G24">
        <f>+G21+G22+G23</f>
        <v>4993.78</v>
      </c>
      <c r="I24">
        <f>+I21+I22+I23</f>
        <v>1138.96</v>
      </c>
      <c r="J24">
        <f>+J21+J22+J23</f>
        <v>1418.9499999999998</v>
      </c>
      <c r="K24">
        <f>+K21+K22+K23</f>
        <v>1257.3999999999999</v>
      </c>
    </row>
    <row r="25" spans="1:222" s="9" customFormat="1" x14ac:dyDescent="0.3">
      <c r="A25"/>
      <c r="B25" s="8" t="s">
        <v>42</v>
      </c>
      <c r="C25" s="8">
        <f>+C20-C24</f>
        <v>1243.1099999999972</v>
      </c>
      <c r="D25" s="8">
        <f>+D20-D24</f>
        <v>1670.9999999999991</v>
      </c>
      <c r="E25" s="8">
        <f>+E20-E24</f>
        <v>5360.449999999998</v>
      </c>
      <c r="F25" s="8">
        <f>+F20-F24</f>
        <v>6006.7900000000036</v>
      </c>
      <c r="G25" s="8">
        <f>+G20-G24</f>
        <v>13085.880000000005</v>
      </c>
      <c r="H25" s="8">
        <v>14559.586666666672</v>
      </c>
      <c r="I25" s="8">
        <f>+I20-I24</f>
        <v>3201.0100000000011</v>
      </c>
      <c r="J25" s="8">
        <f>+J20-J24</f>
        <v>4645.0200000000013</v>
      </c>
      <c r="K25" s="8">
        <f>+K20-K24</f>
        <v>3073.6600000000017</v>
      </c>
      <c r="L25" s="8">
        <f>H25*1.15</f>
        <v>16743.524666666672</v>
      </c>
      <c r="M25" s="9">
        <f>L25*0.12</f>
        <v>2009.2229600000005</v>
      </c>
      <c r="N25" s="9">
        <f>M25*1.1</f>
        <v>2210.1452560000007</v>
      </c>
      <c r="O25" s="9">
        <f>N25*1.05</f>
        <v>2320.652518800001</v>
      </c>
      <c r="P25" s="9">
        <f>O25*1.03</f>
        <v>2390.2720943640011</v>
      </c>
      <c r="Q25" s="9">
        <f t="shared" ref="Q25:V25" si="0">P25*1.03</f>
        <v>2461.9802571949213</v>
      </c>
      <c r="R25" s="9">
        <f t="shared" si="0"/>
        <v>2535.839664910769</v>
      </c>
      <c r="S25" s="9">
        <f t="shared" si="0"/>
        <v>2611.914854858092</v>
      </c>
      <c r="T25" s="9">
        <f t="shared" si="0"/>
        <v>2690.2723005038347</v>
      </c>
      <c r="U25" s="9">
        <f t="shared" si="0"/>
        <v>2770.9804695189496</v>
      </c>
      <c r="V25" s="9">
        <f t="shared" si="0"/>
        <v>2854.109883604518</v>
      </c>
      <c r="W25" s="9">
        <f>V25*(1+$P$33)</f>
        <v>2882.6509824405634</v>
      </c>
      <c r="X25" s="9">
        <f t="shared" ref="X25:CI25" si="1">W25*(1+$P$33)</f>
        <v>2911.477492264969</v>
      </c>
      <c r="Y25" s="9">
        <f t="shared" si="1"/>
        <v>2940.5922671876187</v>
      </c>
      <c r="Z25" s="9">
        <f t="shared" si="1"/>
        <v>2969.9981898594951</v>
      </c>
      <c r="AA25" s="9">
        <f t="shared" si="1"/>
        <v>2999.6981717580902</v>
      </c>
      <c r="AB25" s="9">
        <f t="shared" si="1"/>
        <v>3029.6951534756713</v>
      </c>
      <c r="AC25" s="9">
        <f t="shared" si="1"/>
        <v>3059.9921050104281</v>
      </c>
      <c r="AD25" s="9">
        <f t="shared" si="1"/>
        <v>3090.5920260605326</v>
      </c>
      <c r="AE25" s="9">
        <f t="shared" si="1"/>
        <v>3121.497946321138</v>
      </c>
      <c r="AF25" s="9">
        <f t="shared" si="1"/>
        <v>3152.7129257843494</v>
      </c>
      <c r="AG25" s="9">
        <f t="shared" si="1"/>
        <v>3184.240055042193</v>
      </c>
      <c r="AH25" s="9">
        <f t="shared" si="1"/>
        <v>3216.0824555926151</v>
      </c>
      <c r="AI25" s="9">
        <f t="shared" si="1"/>
        <v>3248.2432801485411</v>
      </c>
      <c r="AJ25" s="9">
        <f t="shared" si="1"/>
        <v>3280.7257129500267</v>
      </c>
      <c r="AK25" s="9">
        <f t="shared" si="1"/>
        <v>3313.5329700795269</v>
      </c>
      <c r="AL25" s="9">
        <f t="shared" si="1"/>
        <v>3346.6682997803223</v>
      </c>
      <c r="AM25" s="9">
        <f t="shared" si="1"/>
        <v>3380.1349827781255</v>
      </c>
      <c r="AN25" s="9">
        <f t="shared" si="1"/>
        <v>3413.936332605907</v>
      </c>
      <c r="AO25" s="9">
        <f t="shared" si="1"/>
        <v>3448.075695931966</v>
      </c>
      <c r="AP25" s="9">
        <f t="shared" si="1"/>
        <v>3482.5564528912855</v>
      </c>
      <c r="AQ25" s="9">
        <f t="shared" si="1"/>
        <v>3517.3820174201983</v>
      </c>
      <c r="AR25" s="9">
        <f t="shared" si="1"/>
        <v>3552.5558375944001</v>
      </c>
      <c r="AS25" s="9">
        <f t="shared" si="1"/>
        <v>3588.0813959703441</v>
      </c>
      <c r="AT25" s="9">
        <f t="shared" si="1"/>
        <v>3623.9622099300477</v>
      </c>
      <c r="AU25" s="9">
        <f t="shared" si="1"/>
        <v>3660.2018320293482</v>
      </c>
      <c r="AV25" s="9">
        <f t="shared" si="1"/>
        <v>3696.8038503496418</v>
      </c>
      <c r="AW25" s="9">
        <f t="shared" si="1"/>
        <v>3733.7718888531381</v>
      </c>
      <c r="AX25" s="9">
        <f t="shared" si="1"/>
        <v>3771.1096077416696</v>
      </c>
      <c r="AY25" s="9">
        <f t="shared" si="1"/>
        <v>3808.8207038190862</v>
      </c>
      <c r="AZ25" s="9">
        <f t="shared" si="1"/>
        <v>3846.9089108572771</v>
      </c>
      <c r="BA25" s="9">
        <f t="shared" si="1"/>
        <v>3885.37799996585</v>
      </c>
      <c r="BB25" s="9">
        <f t="shared" si="1"/>
        <v>3924.2317799655084</v>
      </c>
      <c r="BC25" s="9">
        <f t="shared" si="1"/>
        <v>3963.4740977651636</v>
      </c>
      <c r="BD25" s="9">
        <f t="shared" si="1"/>
        <v>4003.1088387428154</v>
      </c>
      <c r="BE25" s="9">
        <f t="shared" si="1"/>
        <v>4043.1399271302434</v>
      </c>
      <c r="BF25" s="9">
        <f t="shared" si="1"/>
        <v>4083.5713264015458</v>
      </c>
      <c r="BG25" s="9">
        <f t="shared" si="1"/>
        <v>4124.4070396655616</v>
      </c>
      <c r="BH25" s="9">
        <f t="shared" si="1"/>
        <v>4165.6511100622174</v>
      </c>
      <c r="BI25" s="9">
        <f t="shared" si="1"/>
        <v>4207.3076211628395</v>
      </c>
      <c r="BJ25" s="9">
        <f t="shared" si="1"/>
        <v>4249.3806973744677</v>
      </c>
      <c r="BK25" s="9">
        <f t="shared" si="1"/>
        <v>4291.8745043482122</v>
      </c>
      <c r="BL25" s="9">
        <f t="shared" si="1"/>
        <v>4334.7932493916942</v>
      </c>
      <c r="BM25" s="9">
        <f t="shared" si="1"/>
        <v>4378.1411818856113</v>
      </c>
      <c r="BN25" s="9">
        <f t="shared" si="1"/>
        <v>4421.9225937044675</v>
      </c>
      <c r="BO25" s="9">
        <f t="shared" si="1"/>
        <v>4466.1418196415125</v>
      </c>
      <c r="BP25" s="9">
        <f t="shared" si="1"/>
        <v>4510.8032378379276</v>
      </c>
      <c r="BQ25" s="9">
        <f t="shared" si="1"/>
        <v>4555.9112702163065</v>
      </c>
      <c r="BR25" s="9">
        <f t="shared" si="1"/>
        <v>4601.47038291847</v>
      </c>
      <c r="BS25" s="9">
        <f t="shared" si="1"/>
        <v>4647.4850867476543</v>
      </c>
      <c r="BT25" s="9">
        <f t="shared" si="1"/>
        <v>4693.9599376151309</v>
      </c>
      <c r="BU25" s="9">
        <f t="shared" si="1"/>
        <v>4740.8995369912818</v>
      </c>
      <c r="BV25" s="9">
        <f t="shared" si="1"/>
        <v>4788.3085323611949</v>
      </c>
      <c r="BW25" s="9">
        <f t="shared" si="1"/>
        <v>4836.1916176848072</v>
      </c>
      <c r="BX25" s="9">
        <f t="shared" si="1"/>
        <v>4884.5535338616555</v>
      </c>
      <c r="BY25" s="9">
        <f t="shared" si="1"/>
        <v>4933.3990692002717</v>
      </c>
      <c r="BZ25" s="9">
        <f t="shared" si="1"/>
        <v>4982.7330598922745</v>
      </c>
      <c r="CA25" s="9">
        <f t="shared" si="1"/>
        <v>5032.5603904911968</v>
      </c>
      <c r="CB25" s="9">
        <f t="shared" si="1"/>
        <v>5082.8859943961088</v>
      </c>
      <c r="CC25" s="9">
        <f t="shared" si="1"/>
        <v>5133.7148543400699</v>
      </c>
      <c r="CD25" s="9">
        <f t="shared" si="1"/>
        <v>5185.0520028834708</v>
      </c>
      <c r="CE25" s="9">
        <f t="shared" si="1"/>
        <v>5236.9025229123054</v>
      </c>
      <c r="CF25" s="9">
        <f t="shared" si="1"/>
        <v>5289.2715481414289</v>
      </c>
      <c r="CG25" s="9">
        <f t="shared" si="1"/>
        <v>5342.1642636228435</v>
      </c>
      <c r="CH25" s="9">
        <f t="shared" si="1"/>
        <v>5395.5859062590716</v>
      </c>
      <c r="CI25" s="9">
        <f t="shared" si="1"/>
        <v>5449.5417653216628</v>
      </c>
      <c r="CJ25" s="9">
        <f t="shared" ref="CJ25:EU25" si="2">CI25*(1+$P$33)</f>
        <v>5504.0371829748792</v>
      </c>
      <c r="CK25" s="9">
        <f t="shared" si="2"/>
        <v>5559.0775548046277</v>
      </c>
      <c r="CL25" s="9">
        <f t="shared" si="2"/>
        <v>5614.6683303526743</v>
      </c>
      <c r="CM25" s="9">
        <f t="shared" si="2"/>
        <v>5670.8150136562008</v>
      </c>
      <c r="CN25" s="9">
        <f t="shared" si="2"/>
        <v>5727.5231637927627</v>
      </c>
      <c r="CO25" s="9">
        <f t="shared" si="2"/>
        <v>5784.7983954306901</v>
      </c>
      <c r="CP25" s="9">
        <f t="shared" si="2"/>
        <v>5842.6463793849971</v>
      </c>
      <c r="CQ25" s="9">
        <f t="shared" si="2"/>
        <v>5901.0728431788475</v>
      </c>
      <c r="CR25" s="9">
        <f t="shared" si="2"/>
        <v>5960.0835716106358</v>
      </c>
      <c r="CS25" s="9">
        <f t="shared" si="2"/>
        <v>6019.6844073267421</v>
      </c>
      <c r="CT25" s="9">
        <f t="shared" si="2"/>
        <v>6079.8812514000092</v>
      </c>
      <c r="CU25" s="9">
        <f t="shared" si="2"/>
        <v>6140.6800639140092</v>
      </c>
      <c r="CV25" s="9">
        <f t="shared" si="2"/>
        <v>6202.0868645531491</v>
      </c>
      <c r="CW25" s="9">
        <f t="shared" si="2"/>
        <v>6264.1077331986808</v>
      </c>
      <c r="CX25" s="9">
        <f t="shared" si="2"/>
        <v>6326.7488105306675</v>
      </c>
      <c r="CY25" s="9">
        <f t="shared" si="2"/>
        <v>6390.0162986359746</v>
      </c>
      <c r="CZ25" s="9">
        <f t="shared" si="2"/>
        <v>6453.9164616223343</v>
      </c>
      <c r="DA25" s="9">
        <f t="shared" si="2"/>
        <v>6518.4556262385577</v>
      </c>
      <c r="DB25" s="9">
        <f t="shared" si="2"/>
        <v>6583.6401825009434</v>
      </c>
      <c r="DC25" s="9">
        <f t="shared" si="2"/>
        <v>6649.4765843259529</v>
      </c>
      <c r="DD25" s="9">
        <f t="shared" si="2"/>
        <v>6715.9713501692122</v>
      </c>
      <c r="DE25" s="9">
        <f t="shared" si="2"/>
        <v>6783.131063670904</v>
      </c>
      <c r="DF25" s="9">
        <f t="shared" si="2"/>
        <v>6850.9623743076136</v>
      </c>
      <c r="DG25" s="9">
        <f t="shared" si="2"/>
        <v>6919.4719980506898</v>
      </c>
      <c r="DH25" s="9">
        <f t="shared" si="2"/>
        <v>6988.666718031197</v>
      </c>
      <c r="DI25" s="9">
        <f t="shared" si="2"/>
        <v>7058.5533852115086</v>
      </c>
      <c r="DJ25" s="9">
        <f t="shared" si="2"/>
        <v>7129.1389190636237</v>
      </c>
      <c r="DK25" s="9">
        <f t="shared" si="2"/>
        <v>7200.4303082542601</v>
      </c>
      <c r="DL25" s="9">
        <f t="shared" si="2"/>
        <v>7272.4346113368028</v>
      </c>
      <c r="DM25" s="9">
        <f t="shared" si="2"/>
        <v>7345.1589574501713</v>
      </c>
      <c r="DN25" s="9">
        <f t="shared" si="2"/>
        <v>7418.610547024673</v>
      </c>
      <c r="DO25" s="9">
        <f t="shared" si="2"/>
        <v>7492.7966524949197</v>
      </c>
      <c r="DP25" s="9">
        <f t="shared" si="2"/>
        <v>7567.7246190198694</v>
      </c>
      <c r="DQ25" s="9">
        <f t="shared" si="2"/>
        <v>7643.4018652100685</v>
      </c>
      <c r="DR25" s="9">
        <f t="shared" si="2"/>
        <v>7719.8358838621689</v>
      </c>
      <c r="DS25" s="9">
        <f t="shared" si="2"/>
        <v>7797.0342427007909</v>
      </c>
      <c r="DT25" s="9">
        <f t="shared" si="2"/>
        <v>7875.0045851277991</v>
      </c>
      <c r="DU25" s="9">
        <f t="shared" si="2"/>
        <v>7953.7546309790769</v>
      </c>
      <c r="DV25" s="9">
        <f t="shared" si="2"/>
        <v>8033.2921772888676</v>
      </c>
      <c r="DW25" s="9">
        <f t="shared" si="2"/>
        <v>8113.6250990617564</v>
      </c>
      <c r="DX25" s="9">
        <f t="shared" si="2"/>
        <v>8194.7613500523748</v>
      </c>
      <c r="DY25" s="9">
        <f t="shared" si="2"/>
        <v>8276.7089635528991</v>
      </c>
      <c r="DZ25" s="9">
        <f t="shared" si="2"/>
        <v>8359.4760531884276</v>
      </c>
      <c r="EA25" s="9">
        <f t="shared" si="2"/>
        <v>8443.0708137203128</v>
      </c>
      <c r="EB25" s="9">
        <f t="shared" si="2"/>
        <v>8527.5015218575154</v>
      </c>
      <c r="EC25" s="9">
        <f t="shared" si="2"/>
        <v>8612.7765370760899</v>
      </c>
      <c r="ED25" s="9">
        <f t="shared" si="2"/>
        <v>8698.9043024468501</v>
      </c>
      <c r="EE25" s="9">
        <f t="shared" si="2"/>
        <v>8785.8933454713188</v>
      </c>
      <c r="EF25" s="9">
        <f t="shared" si="2"/>
        <v>8873.7522789260329</v>
      </c>
      <c r="EG25" s="9">
        <f t="shared" si="2"/>
        <v>8962.4898017152937</v>
      </c>
      <c r="EH25" s="9">
        <f t="shared" si="2"/>
        <v>9052.1146997324468</v>
      </c>
      <c r="EI25" s="9">
        <f t="shared" si="2"/>
        <v>9142.6358467297705</v>
      </c>
      <c r="EJ25" s="9">
        <f t="shared" si="2"/>
        <v>9234.0622051970677</v>
      </c>
      <c r="EK25" s="9">
        <f t="shared" si="2"/>
        <v>9326.4028272490377</v>
      </c>
      <c r="EL25" s="9">
        <f t="shared" si="2"/>
        <v>9419.6668555215274</v>
      </c>
      <c r="EM25" s="9">
        <f t="shared" si="2"/>
        <v>9513.8635240767435</v>
      </c>
      <c r="EN25" s="9">
        <f t="shared" si="2"/>
        <v>9609.0021593175115</v>
      </c>
      <c r="EO25" s="9">
        <f t="shared" si="2"/>
        <v>9705.0921809106876</v>
      </c>
      <c r="EP25" s="9">
        <f t="shared" si="2"/>
        <v>9802.1431027197941</v>
      </c>
      <c r="EQ25" s="9">
        <f t="shared" si="2"/>
        <v>9900.1645337469927</v>
      </c>
      <c r="ER25" s="9">
        <f t="shared" si="2"/>
        <v>9999.1661790844628</v>
      </c>
      <c r="ES25" s="9">
        <f t="shared" si="2"/>
        <v>10099.157840875307</v>
      </c>
      <c r="ET25" s="9">
        <f t="shared" si="2"/>
        <v>10200.14941928406</v>
      </c>
      <c r="EU25" s="9">
        <f t="shared" si="2"/>
        <v>10302.1509134769</v>
      </c>
      <c r="EV25" s="9">
        <f t="shared" ref="EV25:HG25" si="3">EU25*(1+$P$33)</f>
        <v>10405.172422611669</v>
      </c>
      <c r="EW25" s="9">
        <f t="shared" si="3"/>
        <v>10509.224146837787</v>
      </c>
      <c r="EX25" s="9">
        <f t="shared" si="3"/>
        <v>10614.316388306164</v>
      </c>
      <c r="EY25" s="9">
        <f t="shared" si="3"/>
        <v>10720.459552189226</v>
      </c>
      <c r="EZ25" s="9">
        <f t="shared" si="3"/>
        <v>10827.664147711119</v>
      </c>
      <c r="FA25" s="9">
        <f t="shared" si="3"/>
        <v>10935.940789188229</v>
      </c>
      <c r="FB25" s="9">
        <f t="shared" si="3"/>
        <v>11045.300197080112</v>
      </c>
      <c r="FC25" s="9">
        <f t="shared" si="3"/>
        <v>11155.753199050914</v>
      </c>
      <c r="FD25" s="9">
        <f t="shared" si="3"/>
        <v>11267.310731041423</v>
      </c>
      <c r="FE25" s="9">
        <f t="shared" si="3"/>
        <v>11379.983838351838</v>
      </c>
      <c r="FF25" s="9">
        <f t="shared" si="3"/>
        <v>11493.783676735356</v>
      </c>
      <c r="FG25" s="9">
        <f t="shared" si="3"/>
        <v>11608.721513502711</v>
      </c>
      <c r="FH25" s="9">
        <f t="shared" si="3"/>
        <v>11724.808728637738</v>
      </c>
      <c r="FI25" s="9">
        <f t="shared" si="3"/>
        <v>11842.056815924116</v>
      </c>
      <c r="FJ25" s="9">
        <f t="shared" si="3"/>
        <v>11960.477384083357</v>
      </c>
      <c r="FK25" s="9">
        <f t="shared" si="3"/>
        <v>12080.082157924191</v>
      </c>
      <c r="FL25" s="9">
        <f t="shared" si="3"/>
        <v>12200.882979503433</v>
      </c>
      <c r="FM25" s="9">
        <f t="shared" si="3"/>
        <v>12322.891809298468</v>
      </c>
      <c r="FN25" s="9">
        <f t="shared" si="3"/>
        <v>12446.120727391453</v>
      </c>
      <c r="FO25" s="9">
        <f t="shared" si="3"/>
        <v>12570.581934665368</v>
      </c>
      <c r="FP25" s="9">
        <f t="shared" si="3"/>
        <v>12696.287754012023</v>
      </c>
      <c r="FQ25" s="9">
        <f t="shared" si="3"/>
        <v>12823.250631552142</v>
      </c>
      <c r="FR25" s="9">
        <f t="shared" si="3"/>
        <v>12951.483137867664</v>
      </c>
      <c r="FS25" s="9">
        <f t="shared" si="3"/>
        <v>13080.997969246342</v>
      </c>
      <c r="FT25" s="9">
        <f t="shared" si="3"/>
        <v>13211.807948938806</v>
      </c>
      <c r="FU25" s="9">
        <f t="shared" si="3"/>
        <v>13343.926028428194</v>
      </c>
      <c r="FV25" s="9">
        <f t="shared" si="3"/>
        <v>13477.365288712475</v>
      </c>
      <c r="FW25" s="9">
        <f t="shared" si="3"/>
        <v>13612.1389415996</v>
      </c>
      <c r="FX25" s="9">
        <f t="shared" si="3"/>
        <v>13748.260331015596</v>
      </c>
      <c r="FY25" s="9">
        <f t="shared" si="3"/>
        <v>13885.742934325752</v>
      </c>
      <c r="FZ25" s="9">
        <f t="shared" si="3"/>
        <v>14024.600363669009</v>
      </c>
      <c r="GA25" s="9">
        <f t="shared" si="3"/>
        <v>14164.846367305699</v>
      </c>
      <c r="GB25" s="9">
        <f t="shared" si="3"/>
        <v>14306.494830978756</v>
      </c>
      <c r="GC25" s="9">
        <f t="shared" si="3"/>
        <v>14449.559779288544</v>
      </c>
      <c r="GD25" s="9">
        <f t="shared" si="3"/>
        <v>14594.055377081429</v>
      </c>
      <c r="GE25" s="9">
        <f t="shared" si="3"/>
        <v>14739.995930852245</v>
      </c>
      <c r="GF25" s="9">
        <f t="shared" si="3"/>
        <v>14887.395890160768</v>
      </c>
      <c r="GG25" s="9">
        <f t="shared" si="3"/>
        <v>15036.269849062375</v>
      </c>
      <c r="GH25" s="9">
        <f t="shared" si="3"/>
        <v>15186.632547552999</v>
      </c>
      <c r="GI25" s="9">
        <f t="shared" si="3"/>
        <v>15338.498873028529</v>
      </c>
      <c r="GJ25" s="9">
        <f t="shared" si="3"/>
        <v>15491.883861758815</v>
      </c>
      <c r="GK25" s="9">
        <f t="shared" si="3"/>
        <v>15646.802700376404</v>
      </c>
      <c r="GL25" s="9">
        <f t="shared" si="3"/>
        <v>15803.270727380168</v>
      </c>
      <c r="GM25" s="9">
        <f t="shared" si="3"/>
        <v>15961.30343465397</v>
      </c>
      <c r="GN25" s="9">
        <f t="shared" si="3"/>
        <v>16120.916469000509</v>
      </c>
      <c r="GO25" s="9">
        <f t="shared" si="3"/>
        <v>16282.125633690513</v>
      </c>
      <c r="GP25" s="9">
        <f t="shared" si="3"/>
        <v>16444.946890027419</v>
      </c>
      <c r="GQ25" s="9">
        <f t="shared" si="3"/>
        <v>16609.396358927694</v>
      </c>
      <c r="GR25" s="9">
        <f t="shared" si="3"/>
        <v>16775.490322516969</v>
      </c>
      <c r="GS25" s="9">
        <f t="shared" si="3"/>
        <v>16943.245225742139</v>
      </c>
      <c r="GT25" s="9">
        <f t="shared" si="3"/>
        <v>17112.67767799956</v>
      </c>
      <c r="GU25" s="9">
        <f t="shared" si="3"/>
        <v>17283.804454779554</v>
      </c>
      <c r="GV25" s="9">
        <f t="shared" si="3"/>
        <v>17456.64249932735</v>
      </c>
      <c r="GW25" s="9">
        <f t="shared" si="3"/>
        <v>17631.208924320625</v>
      </c>
      <c r="GX25" s="9">
        <f t="shared" si="3"/>
        <v>17807.52101356383</v>
      </c>
      <c r="GY25" s="9">
        <f t="shared" si="3"/>
        <v>17985.596223699467</v>
      </c>
      <c r="GZ25" s="9">
        <f t="shared" si="3"/>
        <v>18165.452185936461</v>
      </c>
      <c r="HA25" s="9">
        <f t="shared" si="3"/>
        <v>18347.106707795825</v>
      </c>
      <c r="HB25" s="9">
        <f t="shared" si="3"/>
        <v>18530.577774873782</v>
      </c>
      <c r="HC25" s="9">
        <f t="shared" si="3"/>
        <v>18715.883552622519</v>
      </c>
      <c r="HD25" s="9">
        <f t="shared" si="3"/>
        <v>18903.042388148744</v>
      </c>
      <c r="HE25" s="9">
        <f t="shared" si="3"/>
        <v>19092.07281203023</v>
      </c>
      <c r="HF25" s="9">
        <f t="shared" si="3"/>
        <v>19282.993540150532</v>
      </c>
      <c r="HG25" s="9">
        <f t="shared" si="3"/>
        <v>19475.823475552039</v>
      </c>
      <c r="HH25" s="9">
        <f t="shared" ref="HH25:HN25" si="4">HG25*(1+$P$33)</f>
        <v>19670.581710307561</v>
      </c>
      <c r="HI25" s="9">
        <f t="shared" si="4"/>
        <v>19867.287527410637</v>
      </c>
      <c r="HJ25" s="9">
        <f t="shared" si="4"/>
        <v>20065.960402684745</v>
      </c>
      <c r="HK25" s="9">
        <f t="shared" si="4"/>
        <v>20266.620006711593</v>
      </c>
      <c r="HL25" s="9">
        <f t="shared" si="4"/>
        <v>20469.28620677871</v>
      </c>
      <c r="HM25" s="9">
        <f t="shared" si="4"/>
        <v>20673.979068846496</v>
      </c>
      <c r="HN25" s="9">
        <f t="shared" si="4"/>
        <v>20880.718859534962</v>
      </c>
    </row>
    <row r="27" spans="1:222" x14ac:dyDescent="0.3">
      <c r="B27" s="1" t="s">
        <v>16</v>
      </c>
      <c r="C27">
        <v>212.25</v>
      </c>
      <c r="D27">
        <v>327.05</v>
      </c>
      <c r="E27">
        <v>387.29</v>
      </c>
      <c r="F27">
        <v>999.45</v>
      </c>
      <c r="G27">
        <v>2005.8</v>
      </c>
      <c r="I27" s="4">
        <f>I25/I28</f>
        <v>2013.213836477988</v>
      </c>
      <c r="J27" s="4">
        <f>J25/J28</f>
        <v>2037.2894736842113</v>
      </c>
      <c r="K27" s="4">
        <f>K25/K28</f>
        <v>2022.1447368421063</v>
      </c>
    </row>
    <row r="28" spans="1:222" x14ac:dyDescent="0.3">
      <c r="B28" s="1" t="s">
        <v>43</v>
      </c>
      <c r="C28" s="3">
        <f>C25/C27</f>
        <v>5.8568197879858523</v>
      </c>
      <c r="D28" s="3">
        <f>D25/D27</f>
        <v>5.1093105029811925</v>
      </c>
      <c r="E28" s="3">
        <f>E25/E27</f>
        <v>13.840920240646538</v>
      </c>
      <c r="F28" s="3">
        <f>F25/F27</f>
        <v>6.0100955525539081</v>
      </c>
      <c r="G28" s="3">
        <f>G25/G27</f>
        <v>6.5240203410110702</v>
      </c>
      <c r="I28" s="3">
        <v>1.59</v>
      </c>
      <c r="J28">
        <v>2.2799999999999998</v>
      </c>
      <c r="K28">
        <v>1.52</v>
      </c>
    </row>
    <row r="29" spans="1:222" x14ac:dyDescent="0.3">
      <c r="C29" s="4">
        <f>C28</f>
        <v>5.8568197879858523</v>
      </c>
      <c r="D29" s="4">
        <f>C28*D27/C27</f>
        <v>9.0246073576479287</v>
      </c>
      <c r="E29" s="4">
        <f>E27*D28/D27</f>
        <v>6.0504047231297546</v>
      </c>
      <c r="F29" s="4">
        <f>E28*F27/E27</f>
        <v>35.718215638188909</v>
      </c>
      <c r="G29" s="4">
        <f>F28*G27/F27</f>
        <v>12.061683585284534</v>
      </c>
    </row>
    <row r="30" spans="1:222" x14ac:dyDescent="0.3">
      <c r="B30" s="1" t="s">
        <v>44</v>
      </c>
    </row>
    <row r="31" spans="1:222" x14ac:dyDescent="0.3">
      <c r="C31" s="3">
        <f>C25/$C$27</f>
        <v>5.8568197879858523</v>
      </c>
      <c r="D31" s="3">
        <f>D25/$C$27</f>
        <v>7.8727915194346245</v>
      </c>
      <c r="E31" s="3">
        <f>E25/$C$27</f>
        <v>25.255359246171956</v>
      </c>
      <c r="F31" s="3">
        <f>F25/$C$27</f>
        <v>28.300541813898722</v>
      </c>
      <c r="G31" s="3">
        <f>G25/$C$27</f>
        <v>61.653144876325108</v>
      </c>
      <c r="O31" t="s">
        <v>85</v>
      </c>
      <c r="P31" s="6">
        <v>0.08</v>
      </c>
    </row>
    <row r="32" spans="1:222" x14ac:dyDescent="0.3">
      <c r="B32" s="1" t="s">
        <v>45</v>
      </c>
      <c r="O32" t="s">
        <v>86</v>
      </c>
      <c r="P32" s="6">
        <v>0.03</v>
      </c>
    </row>
    <row r="33" spans="2:17" x14ac:dyDescent="0.3">
      <c r="B33" s="1" t="s">
        <v>60</v>
      </c>
      <c r="O33" t="s">
        <v>87</v>
      </c>
      <c r="P33" s="6">
        <v>0.01</v>
      </c>
    </row>
    <row r="34" spans="2:17" x14ac:dyDescent="0.3">
      <c r="B34" t="s">
        <v>46</v>
      </c>
      <c r="C34">
        <v>7221.82</v>
      </c>
      <c r="G34">
        <v>10366.84</v>
      </c>
      <c r="O34" s="7" t="s">
        <v>88</v>
      </c>
      <c r="P34" s="7">
        <f>NPV(P31,H25:XFD25)</f>
        <v>57652.061247952253</v>
      </c>
      <c r="Q34" s="3">
        <f>P34/H25</f>
        <v>3.9597320011799031</v>
      </c>
    </row>
    <row r="35" spans="2:17" x14ac:dyDescent="0.3">
      <c r="B35" t="s">
        <v>47</v>
      </c>
      <c r="C35">
        <v>120</v>
      </c>
      <c r="G35">
        <v>158.51</v>
      </c>
      <c r="O35" s="7"/>
      <c r="P35" s="5">
        <f>P34/G27</f>
        <v>28.742676861078998</v>
      </c>
    </row>
    <row r="36" spans="2:17" x14ac:dyDescent="0.3">
      <c r="B36" t="s">
        <v>48</v>
      </c>
      <c r="C36">
        <v>825</v>
      </c>
      <c r="G36">
        <v>825</v>
      </c>
      <c r="P36" s="5"/>
    </row>
    <row r="37" spans="2:17" x14ac:dyDescent="0.3">
      <c r="B37" t="s">
        <v>49</v>
      </c>
      <c r="C37">
        <f>583.62+14.36</f>
        <v>597.98</v>
      </c>
      <c r="G37">
        <f>2016.07+688.99</f>
        <v>2705.06</v>
      </c>
    </row>
    <row r="38" spans="2:17" x14ac:dyDescent="0.3">
      <c r="B38" t="s">
        <v>50</v>
      </c>
      <c r="C38">
        <v>1958.97</v>
      </c>
      <c r="G38">
        <v>2169.8000000000002</v>
      </c>
    </row>
    <row r="39" spans="2:17" x14ac:dyDescent="0.3">
      <c r="B39" t="s">
        <v>51</v>
      </c>
      <c r="C39">
        <v>74.63</v>
      </c>
      <c r="G39">
        <v>19549.28</v>
      </c>
    </row>
    <row r="40" spans="2:17" x14ac:dyDescent="0.3">
      <c r="B40" t="s">
        <v>52</v>
      </c>
      <c r="C40">
        <v>394.67</v>
      </c>
      <c r="G40">
        <v>2390.8000000000002</v>
      </c>
    </row>
    <row r="41" spans="2:17" x14ac:dyDescent="0.3">
      <c r="B41" t="s">
        <v>53</v>
      </c>
      <c r="C41">
        <f>361.73+81.98+3.51</f>
        <v>447.22</v>
      </c>
      <c r="G41">
        <f>830.92+112.01+253.93</f>
        <v>1196.8599999999999</v>
      </c>
    </row>
    <row r="42" spans="2:17" x14ac:dyDescent="0.3">
      <c r="B42" s="1" t="s">
        <v>54</v>
      </c>
    </row>
    <row r="43" spans="2:17" x14ac:dyDescent="0.3">
      <c r="B43" t="s">
        <v>55</v>
      </c>
      <c r="C43">
        <v>3060.91</v>
      </c>
      <c r="G43">
        <v>137.04</v>
      </c>
    </row>
    <row r="44" spans="2:17" x14ac:dyDescent="0.3">
      <c r="B44" t="s">
        <v>96</v>
      </c>
      <c r="C44">
        <v>9104.2800000000007</v>
      </c>
      <c r="G44">
        <f>149.97+18743.6</f>
        <v>18893.57</v>
      </c>
    </row>
    <row r="45" spans="2:17" x14ac:dyDescent="0.3">
      <c r="B45" t="s">
        <v>56</v>
      </c>
      <c r="C45">
        <v>3733.23</v>
      </c>
      <c r="G45">
        <v>14506.91</v>
      </c>
    </row>
    <row r="46" spans="2:17" x14ac:dyDescent="0.3">
      <c r="B46" t="s">
        <v>57</v>
      </c>
      <c r="C46">
        <v>1364.98</v>
      </c>
      <c r="G46">
        <v>24100.26</v>
      </c>
    </row>
    <row r="47" spans="2:17" x14ac:dyDescent="0.3">
      <c r="B47" t="s">
        <v>51</v>
      </c>
      <c r="C47">
        <v>11779.83</v>
      </c>
      <c r="G47">
        <v>27881</v>
      </c>
    </row>
    <row r="48" spans="2:17" x14ac:dyDescent="0.3">
      <c r="B48" t="s">
        <v>52</v>
      </c>
      <c r="C48">
        <v>9056.9599999999991</v>
      </c>
      <c r="G48">
        <v>54383.96</v>
      </c>
    </row>
    <row r="49" spans="2:7" x14ac:dyDescent="0.3">
      <c r="B49" t="s">
        <v>58</v>
      </c>
      <c r="C49">
        <v>540</v>
      </c>
      <c r="G49">
        <v>1343.17</v>
      </c>
    </row>
    <row r="50" spans="2:7" x14ac:dyDescent="0.3">
      <c r="B50" s="1" t="s">
        <v>59</v>
      </c>
      <c r="C50" s="1">
        <f>SUM(C43:C49)+SUM(C34:C41)</f>
        <v>50280.479999999996</v>
      </c>
      <c r="G50" s="1">
        <f>SUM(G43:G49)+SUM(G34:G41)</f>
        <v>180608.06</v>
      </c>
    </row>
    <row r="52" spans="2:7" x14ac:dyDescent="0.3">
      <c r="B52" t="s">
        <v>61</v>
      </c>
    </row>
    <row r="53" spans="2:7" x14ac:dyDescent="0.3">
      <c r="B53" s="1" t="s">
        <v>63</v>
      </c>
    </row>
    <row r="54" spans="2:7" x14ac:dyDescent="0.3">
      <c r="B54" t="s">
        <v>62</v>
      </c>
      <c r="C54">
        <v>2000.48</v>
      </c>
      <c r="G54">
        <v>19937.900000000001</v>
      </c>
    </row>
    <row r="55" spans="2:7" x14ac:dyDescent="0.3">
      <c r="B55" t="s">
        <v>97</v>
      </c>
      <c r="C55">
        <v>19319.86</v>
      </c>
      <c r="G55">
        <f>43204.11+879.78</f>
        <v>44083.89</v>
      </c>
    </row>
    <row r="56" spans="2:7" x14ac:dyDescent="0.3">
      <c r="B56" s="1" t="s">
        <v>64</v>
      </c>
      <c r="C56" s="1">
        <f>SUM(C54:C55)</f>
        <v>21320.34</v>
      </c>
      <c r="G56" s="1">
        <f>SUM(G54:G55)</f>
        <v>64021.79</v>
      </c>
    </row>
    <row r="58" spans="2:7" x14ac:dyDescent="0.3">
      <c r="B58" t="s">
        <v>65</v>
      </c>
    </row>
    <row r="59" spans="2:7" x14ac:dyDescent="0.3">
      <c r="B59" t="s">
        <v>66</v>
      </c>
      <c r="C59">
        <v>380.96</v>
      </c>
      <c r="G59">
        <v>22436.95</v>
      </c>
    </row>
    <row r="60" spans="2:7" x14ac:dyDescent="0.3">
      <c r="B60" t="s">
        <v>67</v>
      </c>
      <c r="C60">
        <v>0</v>
      </c>
      <c r="G60">
        <v>2388.9899999999998</v>
      </c>
    </row>
    <row r="62" spans="2:7" x14ac:dyDescent="0.3">
      <c r="B62" t="s">
        <v>68</v>
      </c>
      <c r="C62">
        <v>185.11</v>
      </c>
      <c r="G62">
        <v>714.56</v>
      </c>
    </row>
    <row r="63" spans="2:7" x14ac:dyDescent="0.3">
      <c r="B63" t="s">
        <v>69</v>
      </c>
      <c r="C63">
        <v>787.04</v>
      </c>
      <c r="G63">
        <v>437.78</v>
      </c>
    </row>
    <row r="64" spans="2:7" x14ac:dyDescent="0.3">
      <c r="B64" t="s">
        <v>70</v>
      </c>
      <c r="C64">
        <v>219.01</v>
      </c>
    </row>
    <row r="65" spans="2:9" x14ac:dyDescent="0.3">
      <c r="B65" s="1" t="s">
        <v>71</v>
      </c>
    </row>
    <row r="66" spans="2:9" x14ac:dyDescent="0.3">
      <c r="B66" t="s">
        <v>72</v>
      </c>
      <c r="C66">
        <f>4.91+717.88</f>
        <v>722.79</v>
      </c>
      <c r="G66">
        <f>77.47+2628.22</f>
        <v>2705.6899999999996</v>
      </c>
    </row>
    <row r="67" spans="2:9" x14ac:dyDescent="0.3">
      <c r="B67" t="s">
        <v>66</v>
      </c>
      <c r="C67">
        <v>13859.06</v>
      </c>
      <c r="G67">
        <v>23109.01</v>
      </c>
    </row>
    <row r="68" spans="2:9" x14ac:dyDescent="0.3">
      <c r="B68" t="s">
        <v>67</v>
      </c>
      <c r="C68">
        <v>91.39</v>
      </c>
      <c r="G68">
        <v>60206.8</v>
      </c>
    </row>
    <row r="69" spans="2:9" x14ac:dyDescent="0.3">
      <c r="B69" t="s">
        <v>73</v>
      </c>
      <c r="C69">
        <v>12573.89</v>
      </c>
      <c r="G69">
        <v>3502.43</v>
      </c>
    </row>
    <row r="70" spans="2:9" x14ac:dyDescent="0.3">
      <c r="B70" t="s">
        <v>74</v>
      </c>
      <c r="C70">
        <v>140.88999999999999</v>
      </c>
      <c r="G70">
        <f>632.23+451.83</f>
        <v>1084.06</v>
      </c>
    </row>
    <row r="72" spans="2:9" x14ac:dyDescent="0.3">
      <c r="B72" s="1" t="s">
        <v>75</v>
      </c>
      <c r="C72" s="1">
        <f>+SUM(C66:C70)+SUM(C59:C64)+C56</f>
        <v>50280.479999999996</v>
      </c>
      <c r="G72" s="1">
        <f>+SUM(G66:G70)+SUM(G59:G64)+G56</f>
        <v>180608.06</v>
      </c>
    </row>
    <row r="76" spans="2:9" x14ac:dyDescent="0.3">
      <c r="B76" t="s">
        <v>15</v>
      </c>
      <c r="F76">
        <v>80</v>
      </c>
      <c r="G76">
        <v>160</v>
      </c>
      <c r="H76">
        <v>253</v>
      </c>
      <c r="I76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2025-05-12T16:04:51Z</dcterms:modified>
</cp:coreProperties>
</file>