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investing\Analysis\Dharmaj Crop Guard Ltd\"/>
    </mc:Choice>
  </mc:AlternateContent>
  <xr:revisionPtr revIDLastSave="0" documentId="13_ncr:1_{448E52A0-9CAA-4560-9E06-D19843F3CD8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ain" sheetId="1" r:id="rId1"/>
    <sheet name="Model" sheetId="3" state="hidden" r:id="rId2"/>
    <sheet name="New Mode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5" l="1"/>
  <c r="F48" i="5"/>
  <c r="D48" i="5"/>
  <c r="F47" i="5"/>
  <c r="E47" i="5"/>
  <c r="D47" i="5"/>
  <c r="F37" i="5"/>
  <c r="E37" i="5"/>
  <c r="D37" i="5"/>
  <c r="F28" i="5"/>
  <c r="E28" i="5"/>
  <c r="D28" i="5"/>
  <c r="F23" i="5"/>
  <c r="F21" i="5"/>
  <c r="E21" i="5"/>
  <c r="D21" i="5"/>
  <c r="D23" i="5" s="1"/>
  <c r="F11" i="5"/>
  <c r="E11" i="5"/>
  <c r="D11" i="5"/>
  <c r="C48" i="5"/>
  <c r="C47" i="5"/>
  <c r="C37" i="5"/>
  <c r="C28" i="5"/>
  <c r="C23" i="5"/>
  <c r="C21" i="5"/>
  <c r="C11" i="5"/>
  <c r="C27" i="3"/>
  <c r="D63" i="3"/>
  <c r="D62" i="3"/>
  <c r="D58" i="3"/>
  <c r="D57" i="3"/>
  <c r="D56" i="3"/>
  <c r="D55" i="3"/>
  <c r="D54" i="3"/>
  <c r="D53" i="3"/>
  <c r="D52" i="3"/>
  <c r="D51" i="3"/>
  <c r="D48" i="3"/>
  <c r="D47" i="3"/>
  <c r="D49" i="3" s="1"/>
  <c r="C63" i="3"/>
  <c r="C62" i="3"/>
  <c r="C58" i="3"/>
  <c r="C57" i="3"/>
  <c r="C56" i="3"/>
  <c r="C55" i="3"/>
  <c r="C54" i="3"/>
  <c r="C53" i="3"/>
  <c r="C52" i="3"/>
  <c r="C51" i="3"/>
  <c r="C48" i="3"/>
  <c r="C47" i="3"/>
  <c r="D41" i="3"/>
  <c r="D40" i="3"/>
  <c r="D39" i="3"/>
  <c r="D38" i="3"/>
  <c r="D37" i="3"/>
  <c r="D33" i="3"/>
  <c r="D34" i="3" s="1"/>
  <c r="D32" i="3"/>
  <c r="D27" i="3"/>
  <c r="D28" i="3" s="1"/>
  <c r="D26" i="3"/>
  <c r="D25" i="3"/>
  <c r="D19" i="3"/>
  <c r="D18" i="3"/>
  <c r="D17" i="3"/>
  <c r="D16" i="3"/>
  <c r="D11" i="3"/>
  <c r="D10" i="3"/>
  <c r="D9" i="3"/>
  <c r="D5" i="3"/>
  <c r="D6" i="3" s="1"/>
  <c r="D79" i="3" s="1"/>
  <c r="D4" i="3"/>
  <c r="C41" i="3"/>
  <c r="C40" i="3"/>
  <c r="C39" i="3"/>
  <c r="C38" i="3"/>
  <c r="C37" i="3"/>
  <c r="C33" i="3"/>
  <c r="C32" i="3"/>
  <c r="C31" i="3"/>
  <c r="C26" i="3"/>
  <c r="C25" i="3"/>
  <c r="C28" i="3" s="1"/>
  <c r="C19" i="3"/>
  <c r="C18" i="3"/>
  <c r="C17" i="3"/>
  <c r="C16" i="3"/>
  <c r="C11" i="3"/>
  <c r="C9" i="3"/>
  <c r="C5" i="3"/>
  <c r="C6" i="3" s="1"/>
  <c r="C4" i="3"/>
  <c r="G4" i="1"/>
  <c r="G7" i="1" s="1"/>
  <c r="E48" i="5" l="1"/>
  <c r="E23" i="5"/>
  <c r="D64" i="3"/>
  <c r="D59" i="3"/>
  <c r="D61" i="3" s="1"/>
  <c r="D65" i="3" s="1"/>
  <c r="D73" i="3"/>
  <c r="D70" i="3"/>
  <c r="C64" i="3"/>
  <c r="C59" i="3"/>
  <c r="C49" i="3"/>
  <c r="C70" i="3" s="1"/>
  <c r="D43" i="3"/>
  <c r="D44" i="3" s="1"/>
  <c r="D20" i="3"/>
  <c r="D13" i="3"/>
  <c r="D74" i="3"/>
  <c r="C43" i="3"/>
  <c r="C34" i="3"/>
  <c r="C20" i="3"/>
  <c r="C13" i="3"/>
  <c r="C79" i="3"/>
  <c r="C74" i="3"/>
  <c r="D75" i="3" l="1"/>
  <c r="D78" i="3"/>
  <c r="D80" i="3" s="1"/>
  <c r="D69" i="3"/>
  <c r="D67" i="3"/>
  <c r="C61" i="3"/>
  <c r="C65" i="3" s="1"/>
  <c r="C78" i="3" s="1"/>
  <c r="C80" i="3" s="1"/>
  <c r="C73" i="3"/>
  <c r="C75" i="3" s="1"/>
  <c r="D21" i="3"/>
  <c r="D45" i="3" s="1"/>
  <c r="C44" i="3"/>
  <c r="C21" i="3"/>
  <c r="C67" i="3" l="1"/>
  <c r="C69" i="3"/>
  <c r="C45" i="3"/>
</calcChain>
</file>

<file path=xl/sharedStrings.xml><?xml version="1.0" encoding="utf-8"?>
<sst xmlns="http://schemas.openxmlformats.org/spreadsheetml/2006/main" count="130" uniqueCount="111">
  <si>
    <t>Dharmaj Crop Guard Ltd</t>
  </si>
  <si>
    <t>Price</t>
  </si>
  <si>
    <t>Shares Outstanding</t>
  </si>
  <si>
    <t>Market Cap</t>
  </si>
  <si>
    <t>Cash</t>
  </si>
  <si>
    <t>Debt</t>
  </si>
  <si>
    <t>EV</t>
  </si>
  <si>
    <t>Incorporated in 2015</t>
  </si>
  <si>
    <t>Pesticides</t>
  </si>
  <si>
    <t>a) Branded Formulations (B2C)</t>
  </si>
  <si>
    <t>b) Institutional Formulations (B2B)</t>
  </si>
  <si>
    <t>c) Active Ingredients (B2B)</t>
  </si>
  <si>
    <t>Company is present in 24 states with 20 stock depots, 5,000+ dealers and distributors and 15,000+ Retail touch points and is also present in 29 countries with 85 Export Market Product Registrations (202 in Pipeline)</t>
  </si>
  <si>
    <t>2019-20</t>
  </si>
  <si>
    <t>2020-21</t>
  </si>
  <si>
    <t>2021-22</t>
  </si>
  <si>
    <t>2022-23</t>
  </si>
  <si>
    <t>2023-24</t>
  </si>
  <si>
    <t>2024-25</t>
  </si>
  <si>
    <t>Share Capital</t>
  </si>
  <si>
    <t>Equity &amp; Liability</t>
  </si>
  <si>
    <t>Reserves and Surplus</t>
  </si>
  <si>
    <t>Total</t>
  </si>
  <si>
    <t>Non Current Liab</t>
  </si>
  <si>
    <t>Long term Borrowing</t>
  </si>
  <si>
    <t>Deffered tax</t>
  </si>
  <si>
    <t>Other Long term Liab</t>
  </si>
  <si>
    <t>Long term provisions</t>
  </si>
  <si>
    <t>Current Liability</t>
  </si>
  <si>
    <t>Short term Borrowings</t>
  </si>
  <si>
    <t>Trade Payables</t>
  </si>
  <si>
    <t>Other current Liab</t>
  </si>
  <si>
    <t>Short term Provisions</t>
  </si>
  <si>
    <t>Total..</t>
  </si>
  <si>
    <t>Total…</t>
  </si>
  <si>
    <t>Total Liabilty</t>
  </si>
  <si>
    <t>Assets</t>
  </si>
  <si>
    <t>PPE</t>
  </si>
  <si>
    <t>Tangible assets</t>
  </si>
  <si>
    <t>Intangible assets</t>
  </si>
  <si>
    <t>CWIP</t>
  </si>
  <si>
    <t>Non current assets</t>
  </si>
  <si>
    <t>Deffered Tax assets</t>
  </si>
  <si>
    <t>Long term loans and advances</t>
  </si>
  <si>
    <t>Other non current assets</t>
  </si>
  <si>
    <t>Current assets</t>
  </si>
  <si>
    <t>Current investments</t>
  </si>
  <si>
    <t>Inventories</t>
  </si>
  <si>
    <t>Trade receivables</t>
  </si>
  <si>
    <t>Cash and Cash eq</t>
  </si>
  <si>
    <t>Short term loans and adv</t>
  </si>
  <si>
    <t>Other current assets</t>
  </si>
  <si>
    <t>Total assets</t>
  </si>
  <si>
    <t xml:space="preserve">Revenue </t>
  </si>
  <si>
    <t>Other Income</t>
  </si>
  <si>
    <t>Total Revenue</t>
  </si>
  <si>
    <t>Cost of material consumed</t>
  </si>
  <si>
    <t xml:space="preserve">Purchases of stock </t>
  </si>
  <si>
    <t>Manufacturing and operating costs</t>
  </si>
  <si>
    <t>Changes in inventories</t>
  </si>
  <si>
    <t>Employee benefit exp</t>
  </si>
  <si>
    <t>Finance costs</t>
  </si>
  <si>
    <t>Depreciation cost</t>
  </si>
  <si>
    <t>Other expenses</t>
  </si>
  <si>
    <t>Total expenses</t>
  </si>
  <si>
    <t>PBT</t>
  </si>
  <si>
    <t>Current tax</t>
  </si>
  <si>
    <t>Deferred tax</t>
  </si>
  <si>
    <t>PAT</t>
  </si>
  <si>
    <t>EPS</t>
  </si>
  <si>
    <t>Shares outs</t>
  </si>
  <si>
    <t>Net Profit ratio</t>
  </si>
  <si>
    <t>Gross Profit ratio</t>
  </si>
  <si>
    <t>Total tax expense</t>
  </si>
  <si>
    <t>Return on Capital employed</t>
  </si>
  <si>
    <t>EBIT</t>
  </si>
  <si>
    <t>Capital Employed</t>
  </si>
  <si>
    <t>ROCE</t>
  </si>
  <si>
    <t>Return on Equity</t>
  </si>
  <si>
    <t>Shareholder funds</t>
  </si>
  <si>
    <t>ROE</t>
  </si>
  <si>
    <t>Particulars</t>
  </si>
  <si>
    <t>Non Current asset</t>
  </si>
  <si>
    <t>I.A</t>
  </si>
  <si>
    <t>Investments</t>
  </si>
  <si>
    <t>Other financial assets</t>
  </si>
  <si>
    <t>Deffered tax assets</t>
  </si>
  <si>
    <t>Total current assets</t>
  </si>
  <si>
    <t>Cash and cash eq</t>
  </si>
  <si>
    <t>Loans</t>
  </si>
  <si>
    <t>Other financials assets</t>
  </si>
  <si>
    <t>Equity and Liablilities</t>
  </si>
  <si>
    <t>ESC</t>
  </si>
  <si>
    <t>Other eq</t>
  </si>
  <si>
    <t>Total Eq</t>
  </si>
  <si>
    <t>Liabilities</t>
  </si>
  <si>
    <t>Non current Liabilities</t>
  </si>
  <si>
    <t>Borrowings</t>
  </si>
  <si>
    <t>Lease Liability</t>
  </si>
  <si>
    <t>Provisions</t>
  </si>
  <si>
    <t>Deffered tax liability</t>
  </si>
  <si>
    <t>Other non current liab</t>
  </si>
  <si>
    <t>Total Non current liab</t>
  </si>
  <si>
    <t>Current Liabilities</t>
  </si>
  <si>
    <t>Borrowing</t>
  </si>
  <si>
    <t>Trade Payable</t>
  </si>
  <si>
    <t>Other financial liability</t>
  </si>
  <si>
    <t>Other current liab</t>
  </si>
  <si>
    <t>Current tax liability</t>
  </si>
  <si>
    <t>Total current liab</t>
  </si>
  <si>
    <t>Total Eq and liab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</si>
</sst>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;[Red]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wrapText="1"/>
    </xf>
    <xf numFmtId="43" fontId="0" fillId="0" borderId="0" xfId="1" applyFont="1"/>
    <xf numFmtId="43" fontId="2" fillId="0" borderId="0" xfId="1" applyFont="1"/>
    <xf numFmtId="43" fontId="0" fillId="0" borderId="0" xfId="1" applyFont="1" applyAlignment="1">
      <alignment wrapText="1"/>
    </xf>
    <xf numFmtId="43" fontId="1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4"/>
  <sheetViews>
    <sheetView zoomScaleNormal="100" workbookViewId="0">
      <selection activeCell="C1" sqref="C1"/>
    </sheetView>
  </sheetViews>
  <sheetFormatPr defaultRowHeight="13.8" x14ac:dyDescent="0.25"/>
  <cols>
    <col min="1" max="1" width="8.88671875" style="2"/>
    <col min="2" max="2" width="48.77734375" style="2" customWidth="1"/>
    <col min="3" max="5" width="8.88671875" style="2"/>
    <col min="6" max="6" width="23.88671875" style="2" bestFit="1" customWidth="1"/>
    <col min="7" max="7" width="9.21875" style="2" bestFit="1" customWidth="1"/>
    <col min="8" max="13" width="8.88671875" style="2"/>
    <col min="14" max="14" width="20.77734375" style="2" bestFit="1" customWidth="1"/>
    <col min="15" max="16384" width="8.88671875" style="2"/>
  </cols>
  <sheetData>
    <row r="2" spans="2:7" x14ac:dyDescent="0.25">
      <c r="B2" s="1" t="s">
        <v>0</v>
      </c>
      <c r="F2" s="2" t="s">
        <v>1</v>
      </c>
      <c r="G2" s="3">
        <v>206</v>
      </c>
    </row>
    <row r="3" spans="2:7" x14ac:dyDescent="0.25">
      <c r="F3" s="2" t="s">
        <v>2</v>
      </c>
      <c r="G3" s="3">
        <v>3.38</v>
      </c>
    </row>
    <row r="4" spans="2:7" x14ac:dyDescent="0.25">
      <c r="F4" s="2" t="s">
        <v>3</v>
      </c>
      <c r="G4" s="3">
        <f>+G2*G3</f>
        <v>696.28</v>
      </c>
    </row>
    <row r="5" spans="2:7" x14ac:dyDescent="0.25">
      <c r="F5" s="2" t="s">
        <v>4</v>
      </c>
    </row>
    <row r="6" spans="2:7" x14ac:dyDescent="0.25">
      <c r="B6" s="2" t="s">
        <v>7</v>
      </c>
      <c r="F6" s="2" t="s">
        <v>5</v>
      </c>
    </row>
    <row r="7" spans="2:7" x14ac:dyDescent="0.25">
      <c r="B7" s="2" t="s">
        <v>8</v>
      </c>
      <c r="F7" s="2" t="s">
        <v>6</v>
      </c>
      <c r="G7" s="3">
        <f>+G4-G5+G6</f>
        <v>696.28</v>
      </c>
    </row>
    <row r="9" spans="2:7" x14ac:dyDescent="0.25">
      <c r="B9" s="2" t="s">
        <v>9</v>
      </c>
    </row>
    <row r="10" spans="2:7" x14ac:dyDescent="0.25">
      <c r="B10" s="2" t="s">
        <v>10</v>
      </c>
    </row>
    <row r="11" spans="2:7" x14ac:dyDescent="0.25">
      <c r="B11" s="2" t="s">
        <v>11</v>
      </c>
    </row>
    <row r="14" spans="2:7" ht="69" x14ac:dyDescent="0.25">
      <c r="B14" s="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86FF-3127-4C65-B6A0-04678D8C9264}">
  <dimension ref="A1:H80"/>
  <sheetViews>
    <sheetView workbookViewId="0">
      <selection activeCell="C1" sqref="C1"/>
    </sheetView>
  </sheetViews>
  <sheetFormatPr defaultRowHeight="14.4" x14ac:dyDescent="0.3"/>
  <cols>
    <col min="1" max="1" width="12.5546875" style="5" bestFit="1" customWidth="1"/>
    <col min="2" max="2" width="24.33203125" style="5" bestFit="1" customWidth="1"/>
    <col min="3" max="4" width="16.6640625" style="5" bestFit="1" customWidth="1"/>
    <col min="5" max="5" width="14.6640625" style="5" bestFit="1" customWidth="1"/>
    <col min="6" max="6" width="12.5546875" style="5" bestFit="1" customWidth="1"/>
    <col min="7" max="16384" width="8.88671875" style="5"/>
  </cols>
  <sheetData>
    <row r="1" spans="1:8" x14ac:dyDescent="0.3">
      <c r="A1" s="5">
        <v>1000000</v>
      </c>
    </row>
    <row r="2" spans="1:8" x14ac:dyDescent="0.3"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</row>
    <row r="3" spans="1:8" x14ac:dyDescent="0.3">
      <c r="B3" s="6" t="s">
        <v>20</v>
      </c>
    </row>
    <row r="4" spans="1:8" x14ac:dyDescent="0.3">
      <c r="B4" s="5" t="s">
        <v>19</v>
      </c>
      <c r="C4" s="5">
        <f>164555810/$A$1</f>
        <v>164.55581000000001</v>
      </c>
      <c r="D4" s="5">
        <f>164555810/A1</f>
        <v>164.55581000000001</v>
      </c>
    </row>
    <row r="5" spans="1:8" x14ac:dyDescent="0.3">
      <c r="B5" s="5" t="s">
        <v>21</v>
      </c>
      <c r="C5" s="5">
        <f>189986844/A1</f>
        <v>189.98684399999999</v>
      </c>
      <c r="D5" s="5">
        <f>400585738/A1</f>
        <v>400.58573799999999</v>
      </c>
    </row>
    <row r="6" spans="1:8" x14ac:dyDescent="0.3">
      <c r="B6" s="6" t="s">
        <v>22</v>
      </c>
      <c r="C6" s="6">
        <f>SUM(C4:C5)</f>
        <v>354.54265399999997</v>
      </c>
      <c r="D6" s="6">
        <f>SUM(D4:D5)</f>
        <v>565.14154800000006</v>
      </c>
    </row>
    <row r="8" spans="1:8" x14ac:dyDescent="0.3">
      <c r="B8" s="6" t="s">
        <v>23</v>
      </c>
    </row>
    <row r="9" spans="1:8" x14ac:dyDescent="0.3">
      <c r="B9" s="5" t="s">
        <v>24</v>
      </c>
      <c r="C9" s="5">
        <f>51202203/A1</f>
        <v>51.202202999999997</v>
      </c>
      <c r="D9" s="5">
        <f>160458289/A1</f>
        <v>160.45828900000001</v>
      </c>
    </row>
    <row r="10" spans="1:8" x14ac:dyDescent="0.3">
      <c r="B10" s="5" t="s">
        <v>25</v>
      </c>
      <c r="C10" s="5">
        <v>0</v>
      </c>
      <c r="D10" s="5">
        <f>907051/A1</f>
        <v>0.90705100000000005</v>
      </c>
    </row>
    <row r="11" spans="1:8" x14ac:dyDescent="0.3">
      <c r="B11" s="5" t="s">
        <v>26</v>
      </c>
      <c r="C11" s="5">
        <f>57104690/A1</f>
        <v>57.104689999999998</v>
      </c>
      <c r="D11" s="5">
        <f>16950262/A1</f>
        <v>16.950261999999999</v>
      </c>
    </row>
    <row r="12" spans="1:8" x14ac:dyDescent="0.3">
      <c r="B12" s="5" t="s">
        <v>27</v>
      </c>
      <c r="C12" s="5">
        <v>0</v>
      </c>
      <c r="D12" s="5">
        <v>0</v>
      </c>
    </row>
    <row r="13" spans="1:8" x14ac:dyDescent="0.3">
      <c r="B13" s="6" t="s">
        <v>34</v>
      </c>
      <c r="C13" s="6">
        <f>SUM(C9:C12)</f>
        <v>108.306893</v>
      </c>
      <c r="D13" s="6">
        <f>SUM(D9:D12)</f>
        <v>178.31560200000001</v>
      </c>
    </row>
    <row r="15" spans="1:8" x14ac:dyDescent="0.3">
      <c r="B15" s="5" t="s">
        <v>28</v>
      </c>
    </row>
    <row r="16" spans="1:8" x14ac:dyDescent="0.3">
      <c r="B16" s="5" t="s">
        <v>29</v>
      </c>
      <c r="C16" s="5">
        <f>87508053/A1</f>
        <v>87.508053000000004</v>
      </c>
      <c r="D16" s="5">
        <f>67264038/A1</f>
        <v>67.264037999999999</v>
      </c>
    </row>
    <row r="17" spans="2:5" x14ac:dyDescent="0.3">
      <c r="B17" s="5" t="s">
        <v>30</v>
      </c>
      <c r="C17" s="5">
        <f>327301850/A1</f>
        <v>327.30185</v>
      </c>
      <c r="D17" s="5">
        <f>374020496/A1</f>
        <v>374.02049599999998</v>
      </c>
    </row>
    <row r="18" spans="2:5" x14ac:dyDescent="0.3">
      <c r="B18" s="5" t="s">
        <v>31</v>
      </c>
      <c r="C18" s="5">
        <f>25284077/A1</f>
        <v>25.284077</v>
      </c>
      <c r="D18" s="5">
        <f>63629842/A1</f>
        <v>63.629841999999996</v>
      </c>
    </row>
    <row r="19" spans="2:5" x14ac:dyDescent="0.3">
      <c r="B19" s="5" t="s">
        <v>32</v>
      </c>
      <c r="C19" s="5">
        <f>37775000/A1</f>
        <v>37.774999999999999</v>
      </c>
      <c r="D19" s="5">
        <f>69945895/A1</f>
        <v>69.945894999999993</v>
      </c>
    </row>
    <row r="20" spans="2:5" x14ac:dyDescent="0.3">
      <c r="B20" s="6" t="s">
        <v>33</v>
      </c>
      <c r="C20" s="6">
        <f>SUM(C16:C19)</f>
        <v>477.86898000000002</v>
      </c>
      <c r="D20" s="6">
        <f>SUM(D16:D19)</f>
        <v>574.86027100000001</v>
      </c>
    </row>
    <row r="21" spans="2:5" x14ac:dyDescent="0.3">
      <c r="B21" s="6" t="s">
        <v>35</v>
      </c>
      <c r="C21" s="6">
        <f>+C20+C13+C6</f>
        <v>940.71852699999999</v>
      </c>
      <c r="D21" s="6">
        <f>+D20+D13+D6</f>
        <v>1318.3174210000002</v>
      </c>
    </row>
    <row r="23" spans="2:5" x14ac:dyDescent="0.3">
      <c r="B23" s="6" t="s">
        <v>36</v>
      </c>
    </row>
    <row r="24" spans="2:5" x14ac:dyDescent="0.3">
      <c r="B24" s="6" t="s">
        <v>37</v>
      </c>
    </row>
    <row r="25" spans="2:5" x14ac:dyDescent="0.3">
      <c r="B25" s="5" t="s">
        <v>38</v>
      </c>
      <c r="C25" s="5">
        <f>216927778/A1</f>
        <v>216.92777799999999</v>
      </c>
      <c r="D25" s="5">
        <f>385638782/A1</f>
        <v>385.63878199999999</v>
      </c>
      <c r="E25" s="5">
        <v>389.34</v>
      </c>
    </row>
    <row r="26" spans="2:5" x14ac:dyDescent="0.3">
      <c r="B26" s="5" t="s">
        <v>39</v>
      </c>
      <c r="C26" s="5">
        <f>1214954/A1</f>
        <v>1.2149540000000001</v>
      </c>
      <c r="D26" s="5">
        <f>4211602/A1</f>
        <v>4.2116020000000001</v>
      </c>
    </row>
    <row r="27" spans="2:5" x14ac:dyDescent="0.3">
      <c r="B27" s="5" t="s">
        <v>40</v>
      </c>
      <c r="C27" s="5">
        <f>22053168/A1</f>
        <v>22.053167999999999</v>
      </c>
      <c r="D27" s="5">
        <f>11403012/A1</f>
        <v>11.403012</v>
      </c>
    </row>
    <row r="28" spans="2:5" x14ac:dyDescent="0.3">
      <c r="B28" s="6" t="s">
        <v>33</v>
      </c>
      <c r="C28" s="6">
        <f>SUM(C25:C27)</f>
        <v>240.19589999999999</v>
      </c>
      <c r="D28" s="6">
        <f>SUM(D25:D27)</f>
        <v>401.25339600000001</v>
      </c>
    </row>
    <row r="30" spans="2:5" x14ac:dyDescent="0.3">
      <c r="B30" s="5" t="s">
        <v>41</v>
      </c>
      <c r="C30" s="5">
        <v>0</v>
      </c>
    </row>
    <row r="31" spans="2:5" x14ac:dyDescent="0.3">
      <c r="B31" s="5" t="s">
        <v>42</v>
      </c>
      <c r="C31" s="5">
        <f>1515505/A1</f>
        <v>1.5155050000000001</v>
      </c>
      <c r="D31" s="5">
        <v>0</v>
      </c>
    </row>
    <row r="32" spans="2:5" ht="28.8" x14ac:dyDescent="0.3">
      <c r="B32" s="7" t="s">
        <v>43</v>
      </c>
      <c r="C32" s="5">
        <f>1280395/A1</f>
        <v>1.2803949999999999</v>
      </c>
      <c r="D32" s="5">
        <f>6046785/A1</f>
        <v>6.0467849999999999</v>
      </c>
    </row>
    <row r="33" spans="2:4" x14ac:dyDescent="0.3">
      <c r="B33" s="5" t="s">
        <v>44</v>
      </c>
      <c r="C33" s="5">
        <f>2136906/A1</f>
        <v>2.1369060000000002</v>
      </c>
      <c r="D33" s="5">
        <f>2003392/A1</f>
        <v>2.0033919999999998</v>
      </c>
    </row>
    <row r="34" spans="2:4" x14ac:dyDescent="0.3">
      <c r="B34" s="6" t="s">
        <v>34</v>
      </c>
      <c r="C34" s="6">
        <f>SUM(C30:C33)</f>
        <v>4.9328060000000002</v>
      </c>
      <c r="D34" s="6">
        <f>SUM(D30:D33)</f>
        <v>8.0501769999999997</v>
      </c>
    </row>
    <row r="36" spans="2:4" x14ac:dyDescent="0.3">
      <c r="B36" s="6" t="s">
        <v>45</v>
      </c>
    </row>
    <row r="37" spans="2:4" x14ac:dyDescent="0.3">
      <c r="B37" s="5" t="s">
        <v>46</v>
      </c>
      <c r="C37" s="5">
        <f>9120000/A1</f>
        <v>9.1199999999999992</v>
      </c>
      <c r="D37" s="5">
        <f>5000000/A1</f>
        <v>5</v>
      </c>
    </row>
    <row r="38" spans="2:4" x14ac:dyDescent="0.3">
      <c r="B38" s="5" t="s">
        <v>47</v>
      </c>
      <c r="C38" s="5">
        <f>276110497/A1</f>
        <v>276.11049700000001</v>
      </c>
      <c r="D38" s="5">
        <f>435752255/A1</f>
        <v>435.75225499999999</v>
      </c>
    </row>
    <row r="39" spans="2:4" x14ac:dyDescent="0.3">
      <c r="B39" s="5" t="s">
        <v>48</v>
      </c>
      <c r="C39" s="5">
        <f>314025084/A1</f>
        <v>314.02508399999999</v>
      </c>
      <c r="D39" s="5">
        <f>324503648/A1</f>
        <v>324.503648</v>
      </c>
    </row>
    <row r="40" spans="2:4" x14ac:dyDescent="0.3">
      <c r="B40" s="5" t="s">
        <v>49</v>
      </c>
      <c r="C40" s="5">
        <f>2992597/A1</f>
        <v>2.992597</v>
      </c>
      <c r="D40" s="5">
        <f>9532394/A1</f>
        <v>9.532394</v>
      </c>
    </row>
    <row r="41" spans="2:4" x14ac:dyDescent="0.3">
      <c r="B41" s="5" t="s">
        <v>50</v>
      </c>
      <c r="C41" s="5">
        <f>93341643/A1</f>
        <v>93.341643000000005</v>
      </c>
      <c r="D41" s="5">
        <f>134225550/A1</f>
        <v>134.22555</v>
      </c>
    </row>
    <row r="42" spans="2:4" x14ac:dyDescent="0.3">
      <c r="B42" s="8" t="s">
        <v>51</v>
      </c>
      <c r="C42" s="5">
        <v>0</v>
      </c>
      <c r="D42" s="5">
        <v>0</v>
      </c>
    </row>
    <row r="43" spans="2:4" x14ac:dyDescent="0.3">
      <c r="B43" s="6" t="s">
        <v>34</v>
      </c>
      <c r="C43" s="6">
        <f>SUM(C37:C42)</f>
        <v>695.58982100000003</v>
      </c>
      <c r="D43" s="6">
        <f>SUM(D37:D42)</f>
        <v>909.01384699999994</v>
      </c>
    </row>
    <row r="44" spans="2:4" x14ac:dyDescent="0.3">
      <c r="B44" s="6" t="s">
        <v>52</v>
      </c>
      <c r="C44" s="6">
        <f>+C43+C34+C28</f>
        <v>940.71852699999999</v>
      </c>
      <c r="D44" s="6">
        <f>+D43+D34+D28</f>
        <v>1318.3174199999999</v>
      </c>
    </row>
    <row r="45" spans="2:4" x14ac:dyDescent="0.3">
      <c r="C45" s="5">
        <f>+C44-C21</f>
        <v>0</v>
      </c>
      <c r="D45" s="5">
        <f>+D44-D21</f>
        <v>-1.0000003385357559E-6</v>
      </c>
    </row>
    <row r="47" spans="2:4" x14ac:dyDescent="0.3">
      <c r="B47" s="5" t="s">
        <v>53</v>
      </c>
      <c r="C47" s="5">
        <f>1968392561/A1</f>
        <v>1968.3925609999999</v>
      </c>
      <c r="D47" s="5">
        <f>3002444226/A1</f>
        <v>3002.4442260000001</v>
      </c>
    </row>
    <row r="48" spans="2:4" x14ac:dyDescent="0.3">
      <c r="B48" s="5" t="s">
        <v>54</v>
      </c>
      <c r="C48" s="5">
        <f>22945252/A1</f>
        <v>22.945252</v>
      </c>
      <c r="D48" s="5">
        <f>33249354/A1</f>
        <v>33.249353999999997</v>
      </c>
    </row>
    <row r="49" spans="2:4" x14ac:dyDescent="0.3">
      <c r="B49" s="6" t="s">
        <v>55</v>
      </c>
      <c r="C49" s="6">
        <f>SUM(C47:C48)</f>
        <v>1991.3378129999999</v>
      </c>
      <c r="D49" s="6">
        <f>SUM(D47:D48)</f>
        <v>3035.6935800000001</v>
      </c>
    </row>
    <row r="51" spans="2:4" x14ac:dyDescent="0.3">
      <c r="B51" s="5" t="s">
        <v>56</v>
      </c>
      <c r="C51" s="5">
        <f>1566184149/A1</f>
        <v>1566.1841489999999</v>
      </c>
      <c r="D51" s="5">
        <f>2404718290/A1</f>
        <v>2404.7182899999998</v>
      </c>
    </row>
    <row r="52" spans="2:4" x14ac:dyDescent="0.3">
      <c r="B52" s="5" t="s">
        <v>57</v>
      </c>
      <c r="C52" s="5">
        <f>3336545/A1</f>
        <v>3.3365450000000001</v>
      </c>
      <c r="D52" s="5">
        <f>9075009/A1</f>
        <v>9.0750089999999997</v>
      </c>
    </row>
    <row r="53" spans="2:4" ht="28.8" x14ac:dyDescent="0.3">
      <c r="B53" s="7" t="s">
        <v>58</v>
      </c>
      <c r="C53" s="5">
        <f>42601425/A1</f>
        <v>42.601424999999999</v>
      </c>
      <c r="D53" s="5">
        <f>67567834/A1</f>
        <v>67.567834000000005</v>
      </c>
    </row>
    <row r="54" spans="2:4" x14ac:dyDescent="0.3">
      <c r="B54" s="5" t="s">
        <v>59</v>
      </c>
      <c r="C54" s="5">
        <f>-56424935/A1</f>
        <v>-56.424934999999998</v>
      </c>
      <c r="D54" s="5">
        <f>-84977401/A1</f>
        <v>-84.977401</v>
      </c>
    </row>
    <row r="55" spans="2:4" x14ac:dyDescent="0.3">
      <c r="B55" s="5" t="s">
        <v>60</v>
      </c>
      <c r="C55" s="5">
        <f>81315630/A1</f>
        <v>81.315629999999999</v>
      </c>
      <c r="D55" s="5">
        <f>119003949/A1</f>
        <v>119.00394900000001</v>
      </c>
    </row>
    <row r="56" spans="2:4" x14ac:dyDescent="0.3">
      <c r="B56" s="5" t="s">
        <v>61</v>
      </c>
      <c r="C56" s="5">
        <f>23418117/A1</f>
        <v>23.418116999999999</v>
      </c>
      <c r="D56" s="5">
        <f>14518286/A1</f>
        <v>14.518286</v>
      </c>
    </row>
    <row r="57" spans="2:4" x14ac:dyDescent="0.3">
      <c r="B57" s="5" t="s">
        <v>62</v>
      </c>
      <c r="C57" s="5">
        <f>21756682/A1</f>
        <v>21.756682000000001</v>
      </c>
      <c r="D57" s="5">
        <f>25977122/A1</f>
        <v>25.977122000000001</v>
      </c>
    </row>
    <row r="58" spans="2:4" x14ac:dyDescent="0.3">
      <c r="B58" s="5" t="s">
        <v>63</v>
      </c>
      <c r="C58" s="5">
        <f>165003186/A1</f>
        <v>165.003186</v>
      </c>
      <c r="D58" s="5">
        <f>196843146/A1</f>
        <v>196.84314599999999</v>
      </c>
    </row>
    <row r="59" spans="2:4" x14ac:dyDescent="0.3">
      <c r="B59" s="6" t="s">
        <v>64</v>
      </c>
      <c r="C59" s="6">
        <f>SUM(C51:C58)</f>
        <v>1847.1907989999997</v>
      </c>
      <c r="D59" s="6">
        <f>SUM(D51:D58)</f>
        <v>2752.7262349999996</v>
      </c>
    </row>
    <row r="61" spans="2:4" x14ac:dyDescent="0.3">
      <c r="B61" s="6" t="s">
        <v>65</v>
      </c>
      <c r="C61" s="6">
        <f>+C49-C59</f>
        <v>144.14701400000013</v>
      </c>
      <c r="D61" s="6">
        <f>+D49-D59</f>
        <v>282.96734500000048</v>
      </c>
    </row>
    <row r="62" spans="2:4" x14ac:dyDescent="0.3">
      <c r="B62" s="5" t="s">
        <v>66</v>
      </c>
      <c r="C62" s="5">
        <f>37775000/A1</f>
        <v>37.774999999999999</v>
      </c>
      <c r="D62" s="5">
        <f>69945895/A1</f>
        <v>69.945894999999993</v>
      </c>
    </row>
    <row r="63" spans="2:4" x14ac:dyDescent="0.3">
      <c r="B63" s="5" t="s">
        <v>67</v>
      </c>
      <c r="C63" s="5">
        <f>-554890/A1</f>
        <v>-0.55488999999999999</v>
      </c>
      <c r="D63" s="5">
        <f>2422556/A1</f>
        <v>2.4225560000000002</v>
      </c>
    </row>
    <row r="64" spans="2:4" x14ac:dyDescent="0.3">
      <c r="B64" s="6" t="s">
        <v>73</v>
      </c>
      <c r="C64" s="6">
        <f>SUM(C62:C63)</f>
        <v>37.220109999999998</v>
      </c>
      <c r="D64" s="6">
        <f>SUM(D62:D63)</f>
        <v>72.368450999999993</v>
      </c>
    </row>
    <row r="65" spans="2:4" x14ac:dyDescent="0.3">
      <c r="B65" s="6" t="s">
        <v>68</v>
      </c>
      <c r="C65" s="6">
        <f>+C61-C64</f>
        <v>106.92690400000012</v>
      </c>
      <c r="D65" s="6">
        <f>+D61-D64</f>
        <v>210.59889400000048</v>
      </c>
    </row>
    <row r="66" spans="2:4" x14ac:dyDescent="0.3">
      <c r="B66" s="6" t="s">
        <v>69</v>
      </c>
      <c r="C66" s="6">
        <v>10.039999999999999</v>
      </c>
      <c r="D66" s="6">
        <v>12.8</v>
      </c>
    </row>
    <row r="67" spans="2:4" x14ac:dyDescent="0.3">
      <c r="B67" s="6" t="s">
        <v>70</v>
      </c>
      <c r="C67" s="6">
        <f>C65/C66</f>
        <v>10.65009003984065</v>
      </c>
      <c r="D67" s="6">
        <f>D65/D66</f>
        <v>16.453038593750037</v>
      </c>
    </row>
    <row r="69" spans="2:4" x14ac:dyDescent="0.3">
      <c r="B69" s="6" t="s">
        <v>71</v>
      </c>
      <c r="C69" s="6">
        <f>+C65/C49*100</f>
        <v>5.3696014459200212</v>
      </c>
      <c r="D69" s="6">
        <f>+D65/D49*100</f>
        <v>6.9374226498841978</v>
      </c>
    </row>
    <row r="70" spans="2:4" x14ac:dyDescent="0.3">
      <c r="B70" s="6" t="s">
        <v>72</v>
      </c>
      <c r="C70" s="6">
        <f>+((C49-C51-C52-C53-C54)/C49)*100</f>
        <v>21.876781837617823</v>
      </c>
      <c r="D70" s="6">
        <f>+((D49-D51-D52-D53-D54)/D49)*100</f>
        <v>21.059762164796624</v>
      </c>
    </row>
    <row r="71" spans="2:4" x14ac:dyDescent="0.3">
      <c r="B71" s="6"/>
      <c r="C71" s="6"/>
    </row>
    <row r="72" spans="2:4" x14ac:dyDescent="0.3">
      <c r="B72" s="6" t="s">
        <v>74</v>
      </c>
    </row>
    <row r="73" spans="2:4" x14ac:dyDescent="0.3">
      <c r="B73" s="5" t="s">
        <v>75</v>
      </c>
      <c r="C73" s="5">
        <f>+C49-C51-C52-C53-C54-C55-C57-C58</f>
        <v>167.56513099999992</v>
      </c>
      <c r="D73" s="5">
        <f>+D49-D51-D52-D53-D54-D55-D57-D58</f>
        <v>297.48563100000018</v>
      </c>
    </row>
    <row r="74" spans="2:4" x14ac:dyDescent="0.3">
      <c r="B74" s="5" t="s">
        <v>76</v>
      </c>
      <c r="C74" s="5">
        <f>+C6+C9+C16+C11+C10</f>
        <v>550.35759999999993</v>
      </c>
      <c r="D74" s="5">
        <f>+D6+D9+D16+D11+D10</f>
        <v>810.7211880000001</v>
      </c>
    </row>
    <row r="75" spans="2:4" x14ac:dyDescent="0.3">
      <c r="B75" s="6" t="s">
        <v>77</v>
      </c>
      <c r="C75" s="6">
        <f>+C73/C74*100</f>
        <v>30.446591634239255</v>
      </c>
      <c r="D75" s="6">
        <f>+D73/D74*100</f>
        <v>36.693950448474048</v>
      </c>
    </row>
    <row r="77" spans="2:4" x14ac:dyDescent="0.3">
      <c r="B77" s="6" t="s">
        <v>78</v>
      </c>
    </row>
    <row r="78" spans="2:4" x14ac:dyDescent="0.3">
      <c r="B78" s="5" t="s">
        <v>68</v>
      </c>
      <c r="C78" s="5">
        <f>+C65</f>
        <v>106.92690400000012</v>
      </c>
      <c r="D78" s="5">
        <f>+D65</f>
        <v>210.59889400000048</v>
      </c>
    </row>
    <row r="79" spans="2:4" x14ac:dyDescent="0.3">
      <c r="B79" s="5" t="s">
        <v>79</v>
      </c>
      <c r="C79" s="5">
        <f>+C6</f>
        <v>354.54265399999997</v>
      </c>
      <c r="D79" s="5">
        <f>+D6</f>
        <v>565.14154800000006</v>
      </c>
    </row>
    <row r="80" spans="2:4" x14ac:dyDescent="0.3">
      <c r="B80" s="6" t="s">
        <v>80</v>
      </c>
      <c r="C80" s="6">
        <f>+C78/C79*100</f>
        <v>30.1591085849998</v>
      </c>
      <c r="D80" s="6">
        <f>+D78/D79*100</f>
        <v>37.264804675093622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9C87-D263-411B-A748-A89CABF38B14}">
  <dimension ref="B2:F48"/>
  <sheetViews>
    <sheetView tabSelected="1" topLeftCell="A25" workbookViewId="0">
      <selection activeCell="B48" sqref="B48"/>
    </sheetView>
  </sheetViews>
  <sheetFormatPr defaultRowHeight="14.4" x14ac:dyDescent="0.3"/>
  <cols>
    <col min="1" max="1" width="8.88671875" style="5"/>
    <col min="2" max="2" width="22.44140625" style="5" bestFit="1" customWidth="1"/>
    <col min="3" max="3" width="8.88671875" style="5"/>
    <col min="4" max="5" width="9.44140625" style="5" bestFit="1" customWidth="1"/>
    <col min="6" max="16384" width="8.88671875" style="5"/>
  </cols>
  <sheetData>
    <row r="2" spans="2:6" x14ac:dyDescent="0.3">
      <c r="B2" s="6" t="s">
        <v>81</v>
      </c>
      <c r="C2" s="6" t="s">
        <v>13</v>
      </c>
      <c r="D2" s="6" t="s">
        <v>14</v>
      </c>
      <c r="E2" s="6" t="s">
        <v>15</v>
      </c>
    </row>
    <row r="3" spans="2:6" x14ac:dyDescent="0.3">
      <c r="B3" s="6" t="s">
        <v>82</v>
      </c>
    </row>
    <row r="4" spans="2:6" x14ac:dyDescent="0.3">
      <c r="B4" s="5" t="s">
        <v>37</v>
      </c>
      <c r="C4" s="5">
        <v>216.93</v>
      </c>
      <c r="D4" s="5">
        <v>386.72</v>
      </c>
      <c r="E4" s="5">
        <v>389.34</v>
      </c>
    </row>
    <row r="5" spans="2:6" x14ac:dyDescent="0.3">
      <c r="B5" s="5" t="s">
        <v>40</v>
      </c>
      <c r="C5" s="5">
        <v>23.17</v>
      </c>
      <c r="D5" s="5">
        <v>11.4</v>
      </c>
      <c r="E5" s="5">
        <v>176.52</v>
      </c>
    </row>
    <row r="6" spans="2:6" x14ac:dyDescent="0.3">
      <c r="B6" s="5" t="s">
        <v>83</v>
      </c>
      <c r="C6" s="5">
        <v>1.21</v>
      </c>
      <c r="D6" s="5">
        <v>4.21</v>
      </c>
      <c r="E6" s="5">
        <f>11.24+7.48</f>
        <v>18.72</v>
      </c>
    </row>
    <row r="7" spans="2:6" x14ac:dyDescent="0.3">
      <c r="B7" s="5" t="s">
        <v>84</v>
      </c>
      <c r="C7" s="5">
        <v>0</v>
      </c>
      <c r="D7" s="5">
        <v>0</v>
      </c>
      <c r="E7" s="5">
        <v>4.8899999999999997</v>
      </c>
    </row>
    <row r="8" spans="2:6" x14ac:dyDescent="0.3">
      <c r="B8" s="5" t="s">
        <v>85</v>
      </c>
      <c r="C8" s="5">
        <v>9.9499999999999993</v>
      </c>
      <c r="D8" s="5">
        <v>10.34</v>
      </c>
      <c r="E8" s="5">
        <v>10.36</v>
      </c>
    </row>
    <row r="9" spans="2:6" x14ac:dyDescent="0.3">
      <c r="B9" s="5" t="s">
        <v>86</v>
      </c>
      <c r="C9" s="5">
        <v>2.0299999999999998</v>
      </c>
      <c r="D9" s="5">
        <v>0</v>
      </c>
      <c r="E9" s="5">
        <v>2.2999999999999998</v>
      </c>
    </row>
    <row r="10" spans="2:6" x14ac:dyDescent="0.3">
      <c r="B10" s="5" t="s">
        <v>44</v>
      </c>
      <c r="C10" s="5">
        <v>55.74</v>
      </c>
      <c r="D10" s="5">
        <v>45.7</v>
      </c>
      <c r="E10" s="5">
        <v>55.39</v>
      </c>
    </row>
    <row r="11" spans="2:6" x14ac:dyDescent="0.3">
      <c r="B11" s="6" t="s">
        <v>87</v>
      </c>
      <c r="C11" s="6">
        <f>SUM(C4:C10)</f>
        <v>309.03000000000003</v>
      </c>
      <c r="D11" s="6">
        <f t="shared" ref="D11:F11" si="0">SUM(D4:D10)</f>
        <v>458.36999999999995</v>
      </c>
      <c r="E11" s="6">
        <f t="shared" si="0"/>
        <v>657.52</v>
      </c>
      <c r="F11" s="6">
        <f t="shared" si="0"/>
        <v>0</v>
      </c>
    </row>
    <row r="13" spans="2:6" x14ac:dyDescent="0.3">
      <c r="B13" s="6" t="s">
        <v>45</v>
      </c>
    </row>
    <row r="14" spans="2:6" x14ac:dyDescent="0.3">
      <c r="B14" s="5" t="s">
        <v>47</v>
      </c>
      <c r="C14" s="5">
        <v>276.11</v>
      </c>
      <c r="D14" s="5">
        <v>435.75</v>
      </c>
      <c r="E14" s="5">
        <v>628.78</v>
      </c>
    </row>
    <row r="15" spans="2:6" x14ac:dyDescent="0.3">
      <c r="B15" s="5" t="s">
        <v>84</v>
      </c>
      <c r="C15" s="5">
        <v>0</v>
      </c>
      <c r="D15" s="5">
        <v>0</v>
      </c>
      <c r="E15" s="5">
        <v>0</v>
      </c>
    </row>
    <row r="16" spans="2:6" x14ac:dyDescent="0.3">
      <c r="B16" s="5" t="s">
        <v>48</v>
      </c>
      <c r="C16" s="5">
        <v>333.29</v>
      </c>
      <c r="D16" s="5">
        <v>361.82</v>
      </c>
      <c r="E16" s="5">
        <v>859.82</v>
      </c>
    </row>
    <row r="17" spans="2:6" x14ac:dyDescent="0.3">
      <c r="B17" s="5" t="s">
        <v>88</v>
      </c>
      <c r="C17" s="5">
        <v>2.99</v>
      </c>
      <c r="D17" s="5">
        <v>9.5299999999999994</v>
      </c>
      <c r="E17" s="5">
        <v>9.52</v>
      </c>
    </row>
    <row r="18" spans="2:6" x14ac:dyDescent="0.3">
      <c r="B18" s="5" t="s">
        <v>89</v>
      </c>
      <c r="C18" s="5">
        <v>0.45</v>
      </c>
      <c r="D18" s="5">
        <v>0.71</v>
      </c>
      <c r="E18" s="5">
        <v>0.76</v>
      </c>
    </row>
    <row r="19" spans="2:6" x14ac:dyDescent="0.3">
      <c r="B19" s="5" t="s">
        <v>90</v>
      </c>
      <c r="C19" s="5">
        <v>0.56999999999999995</v>
      </c>
      <c r="D19" s="5">
        <v>0.71</v>
      </c>
      <c r="E19" s="5">
        <v>1.05</v>
      </c>
    </row>
    <row r="20" spans="2:6" x14ac:dyDescent="0.3">
      <c r="B20" s="5" t="s">
        <v>51</v>
      </c>
      <c r="C20" s="5">
        <v>3.37</v>
      </c>
      <c r="D20" s="5">
        <v>21.8</v>
      </c>
      <c r="E20" s="5">
        <v>38.01</v>
      </c>
    </row>
    <row r="21" spans="2:6" x14ac:dyDescent="0.3">
      <c r="B21" s="6" t="s">
        <v>87</v>
      </c>
      <c r="C21" s="6">
        <f>SUM(C14:C20)</f>
        <v>616.7800000000002</v>
      </c>
      <c r="D21" s="6">
        <f t="shared" ref="D21:F21" si="1">SUM(D14:D20)</f>
        <v>830.31999999999994</v>
      </c>
      <c r="E21" s="6">
        <f t="shared" si="1"/>
        <v>1537.9399999999998</v>
      </c>
      <c r="F21" s="6">
        <f t="shared" si="1"/>
        <v>0</v>
      </c>
    </row>
    <row r="23" spans="2:6" x14ac:dyDescent="0.3">
      <c r="B23" s="6" t="s">
        <v>52</v>
      </c>
      <c r="C23" s="6">
        <f>+C21+C11</f>
        <v>925.81000000000017</v>
      </c>
      <c r="D23" s="6">
        <f t="shared" ref="D23:F23" si="2">+D21+D11</f>
        <v>1288.6899999999998</v>
      </c>
      <c r="E23" s="6">
        <f t="shared" si="2"/>
        <v>2195.46</v>
      </c>
      <c r="F23" s="6">
        <f t="shared" si="2"/>
        <v>0</v>
      </c>
    </row>
    <row r="25" spans="2:6" x14ac:dyDescent="0.3">
      <c r="B25" s="6" t="s">
        <v>91</v>
      </c>
    </row>
    <row r="26" spans="2:6" x14ac:dyDescent="0.3">
      <c r="B26" s="5" t="s">
        <v>92</v>
      </c>
      <c r="C26" s="5">
        <v>164.56</v>
      </c>
      <c r="D26" s="5">
        <v>164.56</v>
      </c>
      <c r="E26" s="5">
        <v>246.83</v>
      </c>
    </row>
    <row r="27" spans="2:6" x14ac:dyDescent="0.3">
      <c r="B27" s="5" t="s">
        <v>93</v>
      </c>
      <c r="C27" s="5">
        <v>189.73</v>
      </c>
      <c r="D27" s="5">
        <v>398.89</v>
      </c>
      <c r="E27" s="5">
        <v>602.35</v>
      </c>
    </row>
    <row r="28" spans="2:6" x14ac:dyDescent="0.3">
      <c r="B28" s="6" t="s">
        <v>94</v>
      </c>
      <c r="C28" s="6">
        <f>SUM(C26:C27)</f>
        <v>354.28999999999996</v>
      </c>
      <c r="D28" s="6">
        <f t="shared" ref="D28:F28" si="3">SUM(D26:D27)</f>
        <v>563.45000000000005</v>
      </c>
      <c r="E28" s="6">
        <f t="shared" si="3"/>
        <v>849.18000000000006</v>
      </c>
      <c r="F28" s="6">
        <f t="shared" si="3"/>
        <v>0</v>
      </c>
    </row>
    <row r="30" spans="2:6" x14ac:dyDescent="0.3">
      <c r="B30" s="6" t="s">
        <v>95</v>
      </c>
    </row>
    <row r="31" spans="2:6" x14ac:dyDescent="0.3">
      <c r="B31" s="6" t="s">
        <v>96</v>
      </c>
    </row>
    <row r="32" spans="2:6" x14ac:dyDescent="0.3">
      <c r="B32" s="5" t="s">
        <v>97</v>
      </c>
      <c r="C32" s="5">
        <v>51.23</v>
      </c>
      <c r="D32" s="5">
        <v>152.44999999999999</v>
      </c>
      <c r="E32" s="5">
        <v>253.16</v>
      </c>
    </row>
    <row r="33" spans="2:6" x14ac:dyDescent="0.3">
      <c r="B33" s="5" t="s">
        <v>98</v>
      </c>
      <c r="C33" s="5">
        <v>0</v>
      </c>
      <c r="D33" s="5">
        <v>0</v>
      </c>
      <c r="E33" s="5">
        <v>0</v>
      </c>
    </row>
    <row r="34" spans="2:6" x14ac:dyDescent="0.3">
      <c r="B34" s="5" t="s">
        <v>99</v>
      </c>
      <c r="C34" s="5">
        <v>1.88</v>
      </c>
      <c r="D34" s="5">
        <v>3.34</v>
      </c>
      <c r="E34" s="5">
        <v>4.08</v>
      </c>
    </row>
    <row r="35" spans="2:6" x14ac:dyDescent="0.3">
      <c r="B35" s="5" t="s">
        <v>100</v>
      </c>
      <c r="C35" s="5">
        <v>0</v>
      </c>
      <c r="D35" s="5">
        <v>0.23</v>
      </c>
      <c r="E35" s="5">
        <v>0</v>
      </c>
    </row>
    <row r="36" spans="2:6" x14ac:dyDescent="0.3">
      <c r="B36" s="5" t="s">
        <v>101</v>
      </c>
      <c r="C36" s="5">
        <v>12.31</v>
      </c>
      <c r="D36" s="5">
        <v>16.95</v>
      </c>
      <c r="E36" s="5">
        <v>22.41</v>
      </c>
    </row>
    <row r="37" spans="2:6" x14ac:dyDescent="0.3">
      <c r="B37" s="6" t="s">
        <v>102</v>
      </c>
      <c r="C37" s="6">
        <f>SUM(C32:C36)</f>
        <v>65.42</v>
      </c>
      <c r="D37" s="6">
        <f t="shared" ref="D37:F37" si="4">SUM(D32:D36)</f>
        <v>172.96999999999997</v>
      </c>
      <c r="E37" s="6">
        <f t="shared" si="4"/>
        <v>279.65000000000003</v>
      </c>
      <c r="F37" s="6">
        <f t="shared" si="4"/>
        <v>0</v>
      </c>
    </row>
    <row r="39" spans="2:6" x14ac:dyDescent="0.3">
      <c r="B39" s="6" t="s">
        <v>103</v>
      </c>
    </row>
    <row r="40" spans="2:6" x14ac:dyDescent="0.3">
      <c r="B40" s="5" t="s">
        <v>104</v>
      </c>
      <c r="C40" s="5">
        <v>150.54</v>
      </c>
      <c r="D40" s="5">
        <v>116.78</v>
      </c>
      <c r="E40" s="5">
        <v>116.12</v>
      </c>
    </row>
    <row r="41" spans="2:6" x14ac:dyDescent="0.3">
      <c r="B41" s="5" t="s">
        <v>98</v>
      </c>
      <c r="C41" s="5">
        <v>0</v>
      </c>
      <c r="D41" s="5">
        <v>0</v>
      </c>
      <c r="E41" s="5">
        <v>0</v>
      </c>
    </row>
    <row r="42" spans="2:6" x14ac:dyDescent="0.3">
      <c r="B42" s="5" t="s">
        <v>105</v>
      </c>
      <c r="C42" s="5">
        <v>332.04</v>
      </c>
      <c r="D42" s="5">
        <v>391.27</v>
      </c>
      <c r="E42" s="5">
        <v>913.7</v>
      </c>
    </row>
    <row r="43" spans="2:6" x14ac:dyDescent="0.3">
      <c r="B43" s="5" t="s">
        <v>106</v>
      </c>
      <c r="C43" s="5">
        <v>0.05</v>
      </c>
      <c r="D43" s="5">
        <v>0.49</v>
      </c>
      <c r="E43" s="5">
        <v>0.67</v>
      </c>
    </row>
    <row r="44" spans="2:6" x14ac:dyDescent="0.3">
      <c r="B44" s="5" t="s">
        <v>107</v>
      </c>
      <c r="C44" s="5">
        <v>20.9</v>
      </c>
      <c r="D44" s="5">
        <v>40.909999999999997</v>
      </c>
      <c r="E44" s="5">
        <v>31.58</v>
      </c>
    </row>
    <row r="45" spans="2:6" x14ac:dyDescent="0.3">
      <c r="B45" s="5" t="s">
        <v>99</v>
      </c>
      <c r="C45" s="5">
        <v>0.01</v>
      </c>
      <c r="D45" s="5">
        <v>0.12</v>
      </c>
      <c r="E45" s="5">
        <v>0.2</v>
      </c>
    </row>
    <row r="46" spans="2:6" x14ac:dyDescent="0.3">
      <c r="B46" s="5" t="s">
        <v>108</v>
      </c>
      <c r="C46" s="5">
        <v>2.59</v>
      </c>
      <c r="D46" s="5">
        <v>2.72</v>
      </c>
      <c r="E46" s="5">
        <v>4.3499999999999996</v>
      </c>
    </row>
    <row r="47" spans="2:6" x14ac:dyDescent="0.3">
      <c r="B47" s="5" t="s">
        <v>109</v>
      </c>
      <c r="C47" s="5">
        <f>SUM(C40:C46)</f>
        <v>506.13</v>
      </c>
      <c r="D47" s="5">
        <f t="shared" ref="D47:F47" si="5">SUM(D40:D46)</f>
        <v>552.29</v>
      </c>
      <c r="E47" s="5">
        <f t="shared" si="5"/>
        <v>1066.6200000000001</v>
      </c>
      <c r="F47" s="5">
        <f t="shared" si="5"/>
        <v>0</v>
      </c>
    </row>
    <row r="48" spans="2:6" x14ac:dyDescent="0.3">
      <c r="B48" s="6" t="s">
        <v>110</v>
      </c>
      <c r="C48" s="6">
        <f>+C47+C37+C28</f>
        <v>925.83999999999992</v>
      </c>
      <c r="D48" s="6">
        <f t="shared" ref="D48:F48" si="6">+D47+D37+D28</f>
        <v>1288.71</v>
      </c>
      <c r="E48" s="6">
        <f t="shared" si="6"/>
        <v>2195.4500000000003</v>
      </c>
      <c r="F48" s="6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New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 Sejpal</cp:lastModifiedBy>
  <dcterms:created xsi:type="dcterms:W3CDTF">2015-06-05T18:17:20Z</dcterms:created>
  <dcterms:modified xsi:type="dcterms:W3CDTF">2025-04-27T19:07:13Z</dcterms:modified>
</cp:coreProperties>
</file>