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CD\"/>
    </mc:Choice>
  </mc:AlternateContent>
  <xr:revisionPtr revIDLastSave="0" documentId="13_ncr:1_{272D45A8-9FB9-41E6-89BF-B54B734F26EC}" xr6:coauthVersionLast="47" xr6:coauthVersionMax="47" xr10:uidLastSave="{00000000-0000-0000-0000-000000000000}"/>
  <bookViews>
    <workbookView xWindow="-108" yWindow="-108" windowWidth="23256" windowHeight="12456" firstSheet="14" activeTab="21" xr2:uid="{00000000-000D-0000-FFFF-FFFF00000000}"/>
  </bookViews>
  <sheets>
    <sheet name="Hoja1" sheetId="15" r:id="rId1"/>
    <sheet name="ACPM" sheetId="3" r:id="rId2"/>
    <sheet name="SEP-20" sheetId="1" r:id="rId3"/>
    <sheet name="OCT-20" sheetId="2" r:id="rId4"/>
    <sheet name="NOV-20" sheetId="4" r:id="rId5"/>
    <sheet name="DIC-20" sheetId="5" r:id="rId6"/>
    <sheet name="ENE-21" sheetId="6" r:id="rId7"/>
    <sheet name="FEB-21" sheetId="8" r:id="rId8"/>
    <sheet name="MAR-21" sheetId="9" r:id="rId9"/>
    <sheet name="ABR-21" sheetId="10" r:id="rId10"/>
    <sheet name="MAY-21" sheetId="11" r:id="rId11"/>
    <sheet name="JUN-21" sheetId="12" r:id="rId12"/>
    <sheet name="JUL-21" sheetId="13" r:id="rId13"/>
    <sheet name="AGO-21" sheetId="14" r:id="rId14"/>
    <sheet name="SEP-21" sheetId="16" r:id="rId15"/>
    <sheet name="OCT-21" sheetId="17" r:id="rId16"/>
    <sheet name="NOV-21" sheetId="18" r:id="rId17"/>
    <sheet name="DIC-21" sheetId="19" r:id="rId18"/>
    <sheet name="ENE-22" sheetId="20" r:id="rId19"/>
    <sheet name="FEB-22" sheetId="21" r:id="rId20"/>
    <sheet name="MAR-22" sheetId="22" r:id="rId21"/>
    <sheet name="ABRIL-22" sheetId="23" r:id="rId22"/>
    <sheet name="MAYO-22" sheetId="24" r:id="rId23"/>
    <sheet name="RESUMEN" sheetId="7" r:id="rId24"/>
  </sheets>
  <definedNames>
    <definedName name="_xlnm.Print_Area" localSheetId="17">'DIC-21'!$A$1:$H$35</definedName>
    <definedName name="_xlnm.Print_Area" localSheetId="16">'NOV-21'!$A$1:$H$35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7" l="1"/>
  <c r="P2" i="7"/>
  <c r="J23" i="7"/>
  <c r="H35" i="24"/>
  <c r="H34" i="24"/>
  <c r="C34" i="24"/>
  <c r="H33" i="24"/>
  <c r="H32" i="24"/>
  <c r="H31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H17" i="24"/>
  <c r="H16" i="24"/>
  <c r="H15" i="24"/>
  <c r="H14" i="24"/>
  <c r="H13" i="24"/>
  <c r="H12" i="24"/>
  <c r="H11" i="24"/>
  <c r="H10" i="24"/>
  <c r="H9" i="24"/>
  <c r="H8" i="24"/>
  <c r="H7" i="24"/>
  <c r="D34" i="24"/>
  <c r="C35" i="24" s="1"/>
  <c r="H6" i="24"/>
  <c r="H5" i="24"/>
  <c r="H4" i="24"/>
  <c r="H3" i="24"/>
  <c r="E3" i="24"/>
  <c r="E4" i="24" s="1"/>
  <c r="E5" i="24" s="1"/>
  <c r="E6" i="24" s="1"/>
  <c r="E7" i="24" s="1"/>
  <c r="E8" i="24" s="1"/>
  <c r="E9" i="24" s="1"/>
  <c r="E10" i="24" s="1"/>
  <c r="E11" i="24" s="1"/>
  <c r="E12" i="24" s="1"/>
  <c r="E13" i="24" s="1"/>
  <c r="E14" i="24" s="1"/>
  <c r="E15" i="24" s="1"/>
  <c r="E16" i="24" s="1"/>
  <c r="E17" i="24" s="1"/>
  <c r="E18" i="24" s="1"/>
  <c r="E19" i="24" s="1"/>
  <c r="E20" i="24" s="1"/>
  <c r="E21" i="24" s="1"/>
  <c r="E22" i="24" s="1"/>
  <c r="E23" i="24" s="1"/>
  <c r="E24" i="24" s="1"/>
  <c r="E25" i="24" s="1"/>
  <c r="E26" i="24" s="1"/>
  <c r="E27" i="24" s="1"/>
  <c r="E28" i="24" s="1"/>
  <c r="E29" i="24" s="1"/>
  <c r="E30" i="24" s="1"/>
  <c r="E31" i="24" s="1"/>
  <c r="E32" i="24" s="1"/>
  <c r="K22" i="7"/>
  <c r="K21" i="7"/>
  <c r="L21" i="7" s="1"/>
  <c r="J21" i="7"/>
  <c r="K20" i="7"/>
  <c r="J20" i="7"/>
  <c r="L20" i="7" s="1"/>
  <c r="M14" i="23"/>
  <c r="L10" i="23"/>
  <c r="D8" i="23"/>
  <c r="D7" i="23"/>
  <c r="C39" i="22"/>
  <c r="H34" i="19"/>
  <c r="H34" i="21"/>
  <c r="H34" i="22"/>
  <c r="L19" i="7"/>
  <c r="L24" i="7"/>
  <c r="L25" i="7"/>
  <c r="L26" i="7"/>
  <c r="L27" i="7"/>
  <c r="L28" i="7"/>
  <c r="L29" i="7"/>
  <c r="L30" i="7"/>
  <c r="K19" i="7"/>
  <c r="J19" i="7"/>
  <c r="B18" i="7"/>
  <c r="H35" i="23"/>
  <c r="H34" i="23"/>
  <c r="C34" i="23"/>
  <c r="J22" i="7" s="1"/>
  <c r="N2" i="7" s="1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D34" i="23"/>
  <c r="H8" i="23"/>
  <c r="H7" i="23"/>
  <c r="H6" i="23"/>
  <c r="H5" i="23"/>
  <c r="H4" i="23"/>
  <c r="H3" i="23"/>
  <c r="E3" i="23"/>
  <c r="E4" i="23" s="1"/>
  <c r="E5" i="23" s="1"/>
  <c r="E6" i="23" s="1"/>
  <c r="E7" i="23" s="1"/>
  <c r="E8" i="23" s="1"/>
  <c r="E9" i="23" s="1"/>
  <c r="E10" i="23" s="1"/>
  <c r="E11" i="23" s="1"/>
  <c r="E12" i="23" s="1"/>
  <c r="E13" i="23" s="1"/>
  <c r="E14" i="23" s="1"/>
  <c r="E15" i="23" s="1"/>
  <c r="E16" i="23" s="1"/>
  <c r="E17" i="23" s="1"/>
  <c r="E18" i="23" s="1"/>
  <c r="E19" i="23" s="1"/>
  <c r="E20" i="23" s="1"/>
  <c r="E21" i="23" s="1"/>
  <c r="E22" i="23" s="1"/>
  <c r="E23" i="23" s="1"/>
  <c r="E24" i="23" s="1"/>
  <c r="E25" i="23" s="1"/>
  <c r="E26" i="23" s="1"/>
  <c r="E27" i="23" s="1"/>
  <c r="E28" i="23" s="1"/>
  <c r="E29" i="23" s="1"/>
  <c r="E30" i="23" s="1"/>
  <c r="E31" i="23" s="1"/>
  <c r="E32" i="23" s="1"/>
  <c r="D29" i="22"/>
  <c r="D34" i="22" s="1"/>
  <c r="J15" i="22"/>
  <c r="J12" i="22"/>
  <c r="J11" i="22"/>
  <c r="D17" i="22"/>
  <c r="D9" i="22"/>
  <c r="D14" i="2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E15" i="20" s="1"/>
  <c r="E16" i="20" s="1"/>
  <c r="E17" i="20" s="1"/>
  <c r="E18" i="20" s="1"/>
  <c r="E19" i="20" s="1"/>
  <c r="E20" i="20" s="1"/>
  <c r="E21" i="20" s="1"/>
  <c r="E22" i="20" s="1"/>
  <c r="E23" i="20" s="1"/>
  <c r="E24" i="20" s="1"/>
  <c r="E25" i="20" s="1"/>
  <c r="E26" i="20" s="1"/>
  <c r="E27" i="20" s="1"/>
  <c r="E28" i="20" s="1"/>
  <c r="E29" i="20" s="1"/>
  <c r="E30" i="20" s="1"/>
  <c r="E31" i="20" s="1"/>
  <c r="E32" i="20" s="1"/>
  <c r="E33" i="20" s="1"/>
  <c r="E3" i="20"/>
  <c r="C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H8" i="22"/>
  <c r="H7" i="22"/>
  <c r="H6" i="22"/>
  <c r="H5" i="22"/>
  <c r="H4" i="22"/>
  <c r="H3" i="22"/>
  <c r="E3" i="22"/>
  <c r="E4" i="22" s="1"/>
  <c r="E5" i="22" s="1"/>
  <c r="E6" i="22" s="1"/>
  <c r="E7" i="22" s="1"/>
  <c r="E8" i="22" s="1"/>
  <c r="E9" i="22" s="1"/>
  <c r="E10" i="22" s="1"/>
  <c r="E11" i="22" s="1"/>
  <c r="E12" i="22" s="1"/>
  <c r="E13" i="22" s="1"/>
  <c r="E14" i="22" s="1"/>
  <c r="E15" i="22" s="1"/>
  <c r="E16" i="22" s="1"/>
  <c r="E17" i="22" s="1"/>
  <c r="E18" i="22" s="1"/>
  <c r="E19" i="22" s="1"/>
  <c r="E20" i="22" s="1"/>
  <c r="E21" i="22" s="1"/>
  <c r="E22" i="22" s="1"/>
  <c r="E23" i="22" s="1"/>
  <c r="E24" i="22" s="1"/>
  <c r="E25" i="22" s="1"/>
  <c r="E26" i="22" s="1"/>
  <c r="E27" i="22" s="1"/>
  <c r="E28" i="22" s="1"/>
  <c r="H35" i="21"/>
  <c r="D34" i="21"/>
  <c r="C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H8" i="21"/>
  <c r="H7" i="21"/>
  <c r="H6" i="21"/>
  <c r="H5" i="21"/>
  <c r="H4" i="21"/>
  <c r="H3" i="21"/>
  <c r="E3" i="21"/>
  <c r="E4" i="21" s="1"/>
  <c r="E5" i="21" s="1"/>
  <c r="E6" i="21" s="1"/>
  <c r="E7" i="21" s="1"/>
  <c r="E8" i="21" s="1"/>
  <c r="E9" i="21" s="1"/>
  <c r="E10" i="21" s="1"/>
  <c r="E11" i="21" s="1"/>
  <c r="E12" i="21" s="1"/>
  <c r="E13" i="21" s="1"/>
  <c r="E14" i="21" s="1"/>
  <c r="E15" i="21" s="1"/>
  <c r="E16" i="21" s="1"/>
  <c r="E17" i="21" s="1"/>
  <c r="E18" i="21" s="1"/>
  <c r="E19" i="21" s="1"/>
  <c r="E20" i="21" s="1"/>
  <c r="E21" i="21" s="1"/>
  <c r="E22" i="21" s="1"/>
  <c r="E23" i="21" s="1"/>
  <c r="E24" i="21" s="1"/>
  <c r="E25" i="21" s="1"/>
  <c r="E26" i="21" s="1"/>
  <c r="E27" i="21" s="1"/>
  <c r="E28" i="21" s="1"/>
  <c r="E29" i="21" s="1"/>
  <c r="E30" i="21" s="1"/>
  <c r="E31" i="21" s="1"/>
  <c r="E32" i="21" s="1"/>
  <c r="D35" i="20"/>
  <c r="C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6" i="20" s="1"/>
  <c r="L22" i="7" l="1"/>
  <c r="L23" i="7"/>
  <c r="C35" i="23"/>
  <c r="H35" i="22"/>
  <c r="E29" i="22"/>
  <c r="E30" i="22" s="1"/>
  <c r="E31" i="22" s="1"/>
  <c r="E32" i="22" s="1"/>
  <c r="C35" i="22"/>
  <c r="C35" i="21"/>
  <c r="C36" i="20"/>
  <c r="H35" i="20"/>
  <c r="H32" i="16"/>
  <c r="H33" i="14"/>
  <c r="H33" i="17"/>
  <c r="D34" i="19"/>
  <c r="K18" i="7" s="1"/>
  <c r="C34" i="19"/>
  <c r="J18" i="7" s="1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H6" i="19"/>
  <c r="H5" i="19"/>
  <c r="H4" i="19"/>
  <c r="H3" i="19"/>
  <c r="E3" i="19"/>
  <c r="E4" i="19" s="1"/>
  <c r="E5" i="19" s="1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25" i="19" s="1"/>
  <c r="E26" i="19" s="1"/>
  <c r="E27" i="19" s="1"/>
  <c r="E28" i="19" s="1"/>
  <c r="E29" i="19" s="1"/>
  <c r="E30" i="19" s="1"/>
  <c r="E31" i="19" s="1"/>
  <c r="E32" i="19" s="1"/>
  <c r="D34" i="18"/>
  <c r="K17" i="7" s="1"/>
  <c r="C34" i="18"/>
  <c r="C35" i="18" s="1"/>
  <c r="H33" i="18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H8" i="18"/>
  <c r="H7" i="18"/>
  <c r="H6" i="18"/>
  <c r="H5" i="18"/>
  <c r="H4" i="18"/>
  <c r="H3" i="18"/>
  <c r="E3" i="18"/>
  <c r="E4" i="18" s="1"/>
  <c r="E5" i="18" s="1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D34" i="17"/>
  <c r="K16" i="7" s="1"/>
  <c r="C34" i="17"/>
  <c r="J16" i="7" s="1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E3" i="17"/>
  <c r="E4" i="17" s="1"/>
  <c r="E5" i="17" s="1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E25" i="17" s="1"/>
  <c r="E26" i="17" s="1"/>
  <c r="E27" i="17" s="1"/>
  <c r="E28" i="17" s="1"/>
  <c r="E29" i="17" s="1"/>
  <c r="E30" i="17" s="1"/>
  <c r="E31" i="17" s="1"/>
  <c r="E32" i="17" s="1"/>
  <c r="D34" i="16"/>
  <c r="K15" i="7" s="1"/>
  <c r="C34" i="16"/>
  <c r="J15" i="7" s="1"/>
  <c r="H33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E3" i="16"/>
  <c r="E4" i="16" s="1"/>
  <c r="E5" i="16" s="1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H35" i="18" l="1"/>
  <c r="J17" i="7"/>
  <c r="C35" i="16"/>
  <c r="H34" i="18"/>
  <c r="B17" i="7" s="1"/>
  <c r="C35" i="19"/>
  <c r="H35" i="16"/>
  <c r="C15" i="7" s="1"/>
  <c r="H35" i="17"/>
  <c r="C16" i="7" s="1"/>
  <c r="C35" i="17"/>
  <c r="H35" i="19"/>
  <c r="H34" i="17"/>
  <c r="B16" i="7" s="1"/>
  <c r="H34" i="16"/>
  <c r="B15" i="7" s="1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D34" i="14"/>
  <c r="K14" i="7" s="1"/>
  <c r="C34" i="14"/>
  <c r="J14" i="7" s="1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E3" i="14"/>
  <c r="E4" i="14" s="1"/>
  <c r="E5" i="14" s="1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G42" i="3"/>
  <c r="B42" i="3"/>
  <c r="D42" i="3"/>
  <c r="F42" i="3"/>
  <c r="B41" i="3"/>
  <c r="D41" i="3"/>
  <c r="F41" i="3"/>
  <c r="B40" i="3"/>
  <c r="D40" i="3"/>
  <c r="F40" i="3"/>
  <c r="G40" i="3" s="1"/>
  <c r="B39" i="3"/>
  <c r="D39" i="3"/>
  <c r="F39" i="3"/>
  <c r="G39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G38" i="3" s="1"/>
  <c r="B38" i="3"/>
  <c r="D38" i="3"/>
  <c r="G41" i="3" l="1"/>
  <c r="H35" i="14"/>
  <c r="C14" i="7" s="1"/>
  <c r="H34" i="14"/>
  <c r="B14" i="7" s="1"/>
  <c r="C35" i="14"/>
  <c r="D35" i="13"/>
  <c r="K13" i="7" s="1"/>
  <c r="C35" i="13"/>
  <c r="J13" i="7" s="1"/>
  <c r="H3" i="13"/>
  <c r="E3" i="13"/>
  <c r="E4" i="13" s="1"/>
  <c r="E5" i="13" s="1"/>
  <c r="E6" i="13" s="1"/>
  <c r="E7" i="13" s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20" i="13" s="1"/>
  <c r="E21" i="13" s="1"/>
  <c r="E22" i="13" s="1"/>
  <c r="E23" i="13" s="1"/>
  <c r="E24" i="13" s="1"/>
  <c r="E25" i="13" s="1"/>
  <c r="E26" i="13" s="1"/>
  <c r="E27" i="13" s="1"/>
  <c r="E28" i="13" s="1"/>
  <c r="E29" i="13" s="1"/>
  <c r="E30" i="13" s="1"/>
  <c r="E31" i="13" s="1"/>
  <c r="E32" i="13" s="1"/>
  <c r="H36" i="13" l="1"/>
  <c r="H35" i="13"/>
  <c r="B13" i="7" s="1"/>
  <c r="C13" i="7"/>
  <c r="C36" i="13"/>
  <c r="B37" i="3"/>
  <c r="D37" i="3"/>
  <c r="G37" i="3"/>
  <c r="D36" i="3" l="1"/>
  <c r="B36" i="3"/>
  <c r="G36" i="3"/>
  <c r="B35" i="3"/>
  <c r="D35" i="3"/>
  <c r="B34" i="3"/>
  <c r="D34" i="3"/>
  <c r="B33" i="3"/>
  <c r="D33" i="3"/>
  <c r="B32" i="3"/>
  <c r="D32" i="3"/>
  <c r="B31" i="3"/>
  <c r="D31" i="3"/>
  <c r="B30" i="3"/>
  <c r="D30" i="3"/>
  <c r="B29" i="3"/>
  <c r="D29" i="3"/>
  <c r="D27" i="3"/>
  <c r="D28" i="3"/>
  <c r="B28" i="3"/>
  <c r="B27" i="3"/>
  <c r="B26" i="3"/>
  <c r="D26" i="3"/>
  <c r="D35" i="12"/>
  <c r="K12" i="7" s="1"/>
  <c r="C35" i="12"/>
  <c r="J12" i="7" s="1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C36" i="12" l="1"/>
  <c r="H35" i="12"/>
  <c r="B12" i="7" s="1"/>
  <c r="H36" i="12"/>
  <c r="C12" i="7" s="1"/>
  <c r="G26" i="3"/>
  <c r="G35" i="3"/>
  <c r="G34" i="3"/>
  <c r="G33" i="3"/>
  <c r="G31" i="3"/>
  <c r="G32" i="3"/>
  <c r="G30" i="3"/>
  <c r="G29" i="3"/>
  <c r="G28" i="3"/>
  <c r="G27" i="3"/>
  <c r="H32" i="10"/>
  <c r="D10" i="10"/>
  <c r="H33" i="11" l="1"/>
  <c r="H32" i="11"/>
  <c r="D35" i="11"/>
  <c r="K11" i="7" s="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C35" i="11"/>
  <c r="J11" i="7" s="1"/>
  <c r="H33" i="9"/>
  <c r="H23" i="9"/>
  <c r="H24" i="9"/>
  <c r="H25" i="9"/>
  <c r="H26" i="9"/>
  <c r="H27" i="9"/>
  <c r="H28" i="9"/>
  <c r="H29" i="9"/>
  <c r="H30" i="9"/>
  <c r="H31" i="9"/>
  <c r="H32" i="9"/>
  <c r="C34" i="10"/>
  <c r="J10" i="7" s="1"/>
  <c r="H33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D34" i="10"/>
  <c r="H5" i="10"/>
  <c r="H4" i="10"/>
  <c r="H3" i="10"/>
  <c r="E3" i="10"/>
  <c r="E4" i="10" s="1"/>
  <c r="E5" i="10" s="1"/>
  <c r="E6" i="10" s="1"/>
  <c r="E7" i="10" s="1"/>
  <c r="E8" i="10" s="1"/>
  <c r="E9" i="10" s="1"/>
  <c r="E10" i="10" s="1"/>
  <c r="E11" i="10" s="1"/>
  <c r="E12" i="10" s="1"/>
  <c r="E13" i="10" s="1"/>
  <c r="E14" i="10" s="1"/>
  <c r="E15" i="10" s="1"/>
  <c r="E16" i="10" s="1"/>
  <c r="E17" i="10" s="1"/>
  <c r="E18" i="10" s="1"/>
  <c r="E19" i="10" s="1"/>
  <c r="E20" i="10" s="1"/>
  <c r="E21" i="10" s="1"/>
  <c r="E22" i="10" s="1"/>
  <c r="E23" i="10" s="1"/>
  <c r="E24" i="10" s="1"/>
  <c r="E25" i="10" s="1"/>
  <c r="E26" i="10" s="1"/>
  <c r="E27" i="10" s="1"/>
  <c r="E28" i="10" s="1"/>
  <c r="E29" i="10" s="1"/>
  <c r="E30" i="10" s="1"/>
  <c r="E31" i="10" s="1"/>
  <c r="E32" i="10" s="1"/>
  <c r="C35" i="10" l="1"/>
  <c r="K10" i="7"/>
  <c r="L10" i="7" s="1"/>
  <c r="C36" i="11"/>
  <c r="H36" i="11"/>
  <c r="C11" i="7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H35" i="11"/>
  <c r="B11" i="7" s="1"/>
  <c r="H35" i="10"/>
  <c r="C10" i="7" s="1"/>
  <c r="H34" i="10"/>
  <c r="B10" i="7" s="1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30" i="8" l="1"/>
  <c r="B25" i="3"/>
  <c r="D25" i="3"/>
  <c r="G25" i="3"/>
  <c r="B24" i="3"/>
  <c r="D24" i="3"/>
  <c r="D6" i="9"/>
  <c r="D5" i="9"/>
  <c r="G24" i="3" l="1"/>
  <c r="D34" i="9" l="1"/>
  <c r="K9" i="7" s="1"/>
  <c r="C34" i="9"/>
  <c r="J9" i="7" s="1"/>
  <c r="H6" i="9"/>
  <c r="H5" i="9"/>
  <c r="H4" i="9"/>
  <c r="H3" i="9"/>
  <c r="D51" i="8"/>
  <c r="H35" i="9" l="1"/>
  <c r="C9" i="7" s="1"/>
  <c r="H34" i="9"/>
  <c r="B9" i="7" s="1"/>
  <c r="D50" i="8"/>
  <c r="D49" i="8"/>
  <c r="B23" i="3" l="1"/>
  <c r="D23" i="3"/>
  <c r="G23" i="3"/>
  <c r="B22" i="3"/>
  <c r="D22" i="3"/>
  <c r="D31" i="8"/>
  <c r="B21" i="3"/>
  <c r="D21" i="3"/>
  <c r="B20" i="3"/>
  <c r="D20" i="3"/>
  <c r="G19" i="3" s="1"/>
  <c r="B19" i="3"/>
  <c r="D19" i="3"/>
  <c r="B18" i="3"/>
  <c r="D18" i="3"/>
  <c r="G22" i="3" l="1"/>
  <c r="G21" i="3"/>
  <c r="G20" i="3"/>
  <c r="G18" i="3"/>
  <c r="D29" i="8"/>
  <c r="D25" i="8"/>
  <c r="D22" i="8"/>
  <c r="D55" i="8" l="1"/>
  <c r="B17" i="3"/>
  <c r="D17" i="3"/>
  <c r="G17" i="3"/>
  <c r="B16" i="3"/>
  <c r="D16" i="3"/>
  <c r="H33" i="6"/>
  <c r="G16" i="3" l="1"/>
  <c r="B15" i="3"/>
  <c r="D15" i="3"/>
  <c r="G15" i="3"/>
  <c r="G14" i="3" l="1"/>
  <c r="B14" i="3"/>
  <c r="D14" i="3"/>
  <c r="G13" i="3" s="1"/>
  <c r="B3" i="3" l="1"/>
  <c r="B4" i="3"/>
  <c r="B5" i="3"/>
  <c r="B6" i="3"/>
  <c r="B7" i="3"/>
  <c r="B8" i="3"/>
  <c r="B9" i="3"/>
  <c r="B10" i="3"/>
  <c r="B11" i="3"/>
  <c r="B12" i="3"/>
  <c r="B13" i="3"/>
  <c r="D13" i="3"/>
  <c r="G12" i="3" s="1"/>
  <c r="D12" i="3"/>
  <c r="G11" i="3" s="1"/>
  <c r="D11" i="3"/>
  <c r="G10" i="3" s="1"/>
  <c r="D3" i="3"/>
  <c r="D4" i="3"/>
  <c r="G3" i="3" s="1"/>
  <c r="D5" i="3"/>
  <c r="G4" i="3" s="1"/>
  <c r="D6" i="3"/>
  <c r="G5" i="3" s="1"/>
  <c r="D7" i="3"/>
  <c r="G6" i="3" s="1"/>
  <c r="D8" i="3"/>
  <c r="G7" i="3" s="1"/>
  <c r="D9" i="3"/>
  <c r="G8" i="3" s="1"/>
  <c r="D10" i="3"/>
  <c r="G9" i="3" s="1"/>
  <c r="J12" i="3" l="1"/>
  <c r="J10" i="3"/>
  <c r="J8" i="3"/>
  <c r="J6" i="3"/>
  <c r="J4" i="3"/>
  <c r="J2" i="3"/>
  <c r="J13" i="3"/>
  <c r="J11" i="3"/>
  <c r="J9" i="3"/>
  <c r="J7" i="3"/>
  <c r="J5" i="3"/>
  <c r="J3" i="3"/>
  <c r="J1" i="3"/>
  <c r="C38" i="5"/>
  <c r="J6" i="7" s="1"/>
  <c r="D35" i="5"/>
  <c r="D34" i="5"/>
  <c r="D33" i="5"/>
  <c r="D30" i="5"/>
  <c r="D29" i="5"/>
  <c r="D26" i="5"/>
  <c r="D25" i="5"/>
  <c r="D24" i="5"/>
  <c r="D22" i="5"/>
  <c r="D19" i="5"/>
  <c r="D18" i="5"/>
  <c r="D16" i="5"/>
  <c r="D14" i="5"/>
  <c r="D13" i="5"/>
  <c r="D12" i="5"/>
  <c r="D8" i="5"/>
  <c r="E3" i="5"/>
  <c r="E4" i="5" s="1"/>
  <c r="E5" i="5" s="1"/>
  <c r="E6" i="5" s="1"/>
  <c r="E7" i="5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L9" i="7"/>
  <c r="L11" i="7"/>
  <c r="L12" i="7"/>
  <c r="L13" i="7"/>
  <c r="L14" i="7"/>
  <c r="L15" i="7"/>
  <c r="L16" i="7"/>
  <c r="L17" i="7"/>
  <c r="L18" i="7"/>
  <c r="H45" i="8"/>
  <c r="K8" i="7"/>
  <c r="H32" i="8"/>
  <c r="H31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E8" i="5" l="1"/>
  <c r="E9" i="5" s="1"/>
  <c r="E10" i="5" s="1"/>
  <c r="E11" i="5" s="1"/>
  <c r="D38" i="5"/>
  <c r="K6" i="7" s="1"/>
  <c r="L6" i="7" s="1"/>
  <c r="E12" i="5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H47" i="8"/>
  <c r="C8" i="7" s="1"/>
  <c r="H46" i="8"/>
  <c r="B8" i="7" s="1"/>
  <c r="H33" i="5"/>
  <c r="H33" i="4"/>
  <c r="H33" i="2"/>
  <c r="C39" i="5" l="1"/>
  <c r="D33" i="6"/>
  <c r="K7" i="7" s="1"/>
  <c r="C33" i="6"/>
  <c r="J7" i="7" s="1"/>
  <c r="L7" i="7" l="1"/>
  <c r="C34" i="6"/>
  <c r="H32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" i="6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" i="5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C39" i="2"/>
  <c r="J4" i="7" s="1"/>
  <c r="D36" i="2"/>
  <c r="D30" i="2"/>
  <c r="D29" i="2"/>
  <c r="D25" i="2"/>
  <c r="H4" i="4"/>
  <c r="H5" i="4"/>
  <c r="H6" i="4"/>
  <c r="H3" i="4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" i="2"/>
  <c r="C33" i="4"/>
  <c r="J5" i="7" s="1"/>
  <c r="D33" i="4"/>
  <c r="C3" i="8" l="1"/>
  <c r="C55" i="8" s="1"/>
  <c r="H36" i="5"/>
  <c r="K5" i="7"/>
  <c r="L5" i="7" s="1"/>
  <c r="C34" i="4"/>
  <c r="H35" i="2"/>
  <c r="C4" i="7" s="1"/>
  <c r="H34" i="2"/>
  <c r="B4" i="7" s="1"/>
  <c r="H35" i="4"/>
  <c r="C5" i="7" s="1"/>
  <c r="H34" i="4"/>
  <c r="B5" i="7" s="1"/>
  <c r="H35" i="6"/>
  <c r="C7" i="7" s="1"/>
  <c r="C6" i="7"/>
  <c r="H35" i="5"/>
  <c r="B6" i="7" s="1"/>
  <c r="H34" i="6"/>
  <c r="B7" i="7" s="1"/>
  <c r="D17" i="2"/>
  <c r="D16" i="2"/>
  <c r="D17" i="1"/>
  <c r="H29" i="1"/>
  <c r="H30" i="1"/>
  <c r="H31" i="1"/>
  <c r="H18" i="1"/>
  <c r="H19" i="1"/>
  <c r="H20" i="1"/>
  <c r="H21" i="1"/>
  <c r="H22" i="1"/>
  <c r="H23" i="1"/>
  <c r="H24" i="1"/>
  <c r="H25" i="1"/>
  <c r="H26" i="1"/>
  <c r="H27" i="1"/>
  <c r="H28" i="1"/>
  <c r="D15" i="1"/>
  <c r="D14" i="1"/>
  <c r="C9" i="1"/>
  <c r="C33" i="1" s="1"/>
  <c r="J3" i="7" s="1"/>
  <c r="D16" i="1"/>
  <c r="D13" i="1"/>
  <c r="D12" i="1"/>
  <c r="D11" i="1"/>
  <c r="D10" i="1"/>
  <c r="D9" i="1"/>
  <c r="D3" i="1"/>
  <c r="E3" i="1" s="1"/>
  <c r="E4" i="1" s="1"/>
  <c r="E5" i="1" s="1"/>
  <c r="E6" i="1" s="1"/>
  <c r="E7" i="1" s="1"/>
  <c r="E8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  <c r="E3" i="8" l="1"/>
  <c r="E4" i="8" s="1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3" i="9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39" i="2"/>
  <c r="K4" i="7" s="1"/>
  <c r="L4" i="7" s="1"/>
  <c r="E16" i="2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H34" i="1"/>
  <c r="C3" i="7" s="1"/>
  <c r="G2" i="7" s="1"/>
  <c r="H33" i="1"/>
  <c r="B3" i="7" s="1"/>
  <c r="E2" i="7" s="1"/>
  <c r="C40" i="2"/>
  <c r="D33" i="1"/>
  <c r="K3" i="7" s="1"/>
  <c r="L3" i="7" l="1"/>
  <c r="C34" i="1"/>
  <c r="E33" i="1"/>
  <c r="E34" i="1" l="1"/>
  <c r="C56" i="8"/>
  <c r="J8" i="7"/>
  <c r="L8" i="7" s="1"/>
  <c r="R2" i="7" l="1"/>
  <c r="C35" i="9"/>
</calcChain>
</file>

<file path=xl/sharedStrings.xml><?xml version="1.0" encoding="utf-8"?>
<sst xmlns="http://schemas.openxmlformats.org/spreadsheetml/2006/main" count="571" uniqueCount="181">
  <si>
    <t xml:space="preserve">CONTROL  DIARIO   CAMIONETA </t>
  </si>
  <si>
    <t>FECHA</t>
  </si>
  <si>
    <t>CONCEPTO</t>
  </si>
  <si>
    <t>ENTRADA</t>
  </si>
  <si>
    <t>SALIDA</t>
  </si>
  <si>
    <t>KILOMETROS</t>
  </si>
  <si>
    <t>TOTAL KM</t>
  </si>
  <si>
    <t>SALDO</t>
  </si>
  <si>
    <t>acpm</t>
  </si>
  <si>
    <t>peaje</t>
  </si>
  <si>
    <t>empaquer</t>
  </si>
  <si>
    <t>preventiva</t>
  </si>
  <si>
    <t>parqueadero</t>
  </si>
  <si>
    <t>peajes</t>
  </si>
  <si>
    <t>TOTAL</t>
  </si>
  <si>
    <t>PROMEDIO</t>
  </si>
  <si>
    <t>CONTROL MENSUAL CAMIONETA KILOMETROS RECORRIDOS</t>
  </si>
  <si>
    <t>PROMEDIO/DIARIO</t>
  </si>
  <si>
    <t>KILOMETROS/MES</t>
  </si>
  <si>
    <t>TOTAL KILOMETROS</t>
  </si>
  <si>
    <t>ACPM( 37076 KM)</t>
  </si>
  <si>
    <t>PEAJITO COPA</t>
  </si>
  <si>
    <t>PARQUEADERO TORRE</t>
  </si>
  <si>
    <t>ACPM(37422KM)</t>
  </si>
  <si>
    <t>PROMEDIO KM</t>
  </si>
  <si>
    <t>ISODINE SOLUCION</t>
  </si>
  <si>
    <t>ISODINE ESPUMA</t>
  </si>
  <si>
    <t>TIJERAS</t>
  </si>
  <si>
    <t>PITO DE REVERSA E INSTALACION</t>
  </si>
  <si>
    <t>TOTAL PROMEDIO</t>
  </si>
  <si>
    <t>INSTALACION TIRO DE ARRASTRE</t>
  </si>
  <si>
    <t>INGRESOS</t>
  </si>
  <si>
    <t>EGRESOS</t>
  </si>
  <si>
    <t>TOTAL INGRESOS</t>
  </si>
  <si>
    <t>TOTAL EGRESOS</t>
  </si>
  <si>
    <t>ACPM</t>
  </si>
  <si>
    <t>BOMBILLOS</t>
  </si>
  <si>
    <t>PARQUEADERO</t>
  </si>
  <si>
    <t>CAMBIO DE FRENOS</t>
  </si>
  <si>
    <t>LAVADA</t>
  </si>
  <si>
    <t>PEAJE PAJARITO</t>
  </si>
  <si>
    <t>PREVENTIVA</t>
  </si>
  <si>
    <t>SAN LUIS</t>
  </si>
  <si>
    <t>PLASTICO</t>
  </si>
  <si>
    <t>PEAJES</t>
  </si>
  <si>
    <t>31/11</t>
  </si>
  <si>
    <t>AMBIENTADOR-BOMBILLOS</t>
  </si>
  <si>
    <t>CONTROL ACPM</t>
  </si>
  <si>
    <t>VALOR</t>
  </si>
  <si>
    <t>PEAJE</t>
  </si>
  <si>
    <t>FERRI PIAMONTE</t>
  </si>
  <si>
    <t>AMBIENTADOR</t>
  </si>
  <si>
    <t>VIATICOS</t>
  </si>
  <si>
    <t>ACPM (37891KM)</t>
  </si>
  <si>
    <t>KM RECORRIDOS</t>
  </si>
  <si>
    <t>TOTAL MES</t>
  </si>
  <si>
    <t>MES</t>
  </si>
  <si>
    <t>ACPM (38042KM)</t>
  </si>
  <si>
    <t>GALONES</t>
  </si>
  <si>
    <t>RENDIMIENTO kM/GL</t>
  </si>
  <si>
    <t>ACPM (38704 KM)</t>
  </si>
  <si>
    <t>ACPM( 39145 KM)</t>
  </si>
  <si>
    <t>ACPM( 39722 KM)</t>
  </si>
  <si>
    <t>ACPM(39897 KM)</t>
  </si>
  <si>
    <t>ACPM (40426 KM)</t>
  </si>
  <si>
    <t>ACPM (40837 KM)</t>
  </si>
  <si>
    <t>ACPM (41377 KM)</t>
  </si>
  <si>
    <t>VIATICOS URABA</t>
  </si>
  <si>
    <t>ACEITE Y FILTROS</t>
  </si>
  <si>
    <t>M.O ACEITE</t>
  </si>
  <si>
    <t>ACPM (41783KM)</t>
  </si>
  <si>
    <t>RECARGA EXTINTOR</t>
  </si>
  <si>
    <t xml:space="preserve"> v</t>
  </si>
  <si>
    <t>COPIAS</t>
  </si>
  <si>
    <t>ACPM (42117KM)</t>
  </si>
  <si>
    <t>FEBRERO</t>
  </si>
  <si>
    <t>ACPM (42616 KM)</t>
  </si>
  <si>
    <t>ACPM( 43044 KM)</t>
  </si>
  <si>
    <t>ACPM( 43836 KM)</t>
  </si>
  <si>
    <t>ACPM (44210 KM)</t>
  </si>
  <si>
    <t>ACPM ( 44636 KM)</t>
  </si>
  <si>
    <t>ACPM(44840 KM)</t>
  </si>
  <si>
    <t>EFECTIVO</t>
  </si>
  <si>
    <t>ACPM(45289 KM)</t>
  </si>
  <si>
    <t>PEAJE (2)</t>
  </si>
  <si>
    <t>ACPM(45764 KM)</t>
  </si>
  <si>
    <t>ACPM (46271 KM)</t>
  </si>
  <si>
    <t>ACPM (46791 KM)</t>
  </si>
  <si>
    <t>BETUN</t>
  </si>
  <si>
    <t>ACPM (47200 KM)</t>
  </si>
  <si>
    <t>ACPM (47711 KM)</t>
  </si>
  <si>
    <t>ALINEACION</t>
  </si>
  <si>
    <t>ACPM (48431 K M)</t>
  </si>
  <si>
    <t>ACPM(48896 KM)</t>
  </si>
  <si>
    <t>DIANA</t>
  </si>
  <si>
    <t>FECHA2</t>
  </si>
  <si>
    <t>ACPM (49377 KM)</t>
  </si>
  <si>
    <t>JUNIO</t>
  </si>
  <si>
    <t>MAYO</t>
  </si>
  <si>
    <t>ENERO</t>
  </si>
  <si>
    <t>MARZO</t>
  </si>
  <si>
    <t>ABRIL</t>
  </si>
  <si>
    <t>JULIO</t>
  </si>
  <si>
    <t>AGOSTO</t>
  </si>
  <si>
    <t>SEPTIEMBRE</t>
  </si>
  <si>
    <t>OCTUBRE</t>
  </si>
  <si>
    <t>NOVIEMBRE</t>
  </si>
  <si>
    <t>DICIEMBRE</t>
  </si>
  <si>
    <t>ACPM (49753 KM)</t>
  </si>
  <si>
    <t>ACPM (49968 KM)</t>
  </si>
  <si>
    <t>CAMBIO DE ACEITE</t>
  </si>
  <si>
    <t>ACPM (50697 KM)</t>
  </si>
  <si>
    <t>ACPM (51024 KM)</t>
  </si>
  <si>
    <t>ACPM (51932 KM)</t>
  </si>
  <si>
    <t>HOMECENTER</t>
  </si>
  <si>
    <t>peaje Barbosa (2)</t>
  </si>
  <si>
    <t>ACPM (56787 KM)</t>
  </si>
  <si>
    <t>ACPM (57200 KM)</t>
  </si>
  <si>
    <t>ACPM (57462 KM)</t>
  </si>
  <si>
    <t>ACPM (57773 KM)</t>
  </si>
  <si>
    <t>CEMENTO</t>
  </si>
  <si>
    <t>PIPETA DE GAS</t>
  </si>
  <si>
    <t>PEAJES (4)</t>
  </si>
  <si>
    <t>ACPM (52340 KM)</t>
  </si>
  <si>
    <t>ACPM (52802 KM)</t>
  </si>
  <si>
    <t>ACPM (53185 KM)</t>
  </si>
  <si>
    <t>ACPM (53782 KM)</t>
  </si>
  <si>
    <t>ACPM (54626 KM)</t>
  </si>
  <si>
    <t>ROTACION LLANTAS</t>
  </si>
  <si>
    <t>ACPM (55118 KM)</t>
  </si>
  <si>
    <t>BOMBILLO EXPLORADORA</t>
  </si>
  <si>
    <t>ACPM (55492 KM)</t>
  </si>
  <si>
    <t>PARCHADA DE LLANTA</t>
  </si>
  <si>
    <t>ACPM (56282 KM)</t>
  </si>
  <si>
    <t>VARIOS</t>
  </si>
  <si>
    <t>LUBRICANTES LUFER</t>
  </si>
  <si>
    <t>ACPM (62822 KM)</t>
  </si>
  <si>
    <t>ACPM (63885 KM)</t>
  </si>
  <si>
    <t>ACPM (64269 KM)</t>
  </si>
  <si>
    <t>AVISO CARGA LATGA</t>
  </si>
  <si>
    <t>CORREA-DESENGRASANTE</t>
  </si>
  <si>
    <t xml:space="preserve">LAVADA </t>
  </si>
  <si>
    <t>ACPM(65631 KM)</t>
  </si>
  <si>
    <t>ACPM (66104 KM)</t>
  </si>
  <si>
    <t>ACPM (67012 KM)</t>
  </si>
  <si>
    <t>ACPM (67414 KM)</t>
  </si>
  <si>
    <t>LAVADA CAMIONETA</t>
  </si>
  <si>
    <t>EXTINTOR</t>
  </si>
  <si>
    <t>VIATICOS PUERTO TRINFO</t>
  </si>
  <si>
    <t>TECNICOMECANICA</t>
  </si>
  <si>
    <t>BATERIA</t>
  </si>
  <si>
    <t>NOMINA</t>
  </si>
  <si>
    <t>NOMIINA</t>
  </si>
  <si>
    <t>AGUINALDO</t>
  </si>
  <si>
    <t>PEAJES(2)</t>
  </si>
  <si>
    <t>FRENOS</t>
  </si>
  <si>
    <t>REPROGRAMACION DE CAMIONETA</t>
  </si>
  <si>
    <t>VIAJE SANTA ELENA</t>
  </si>
  <si>
    <t>PEAJE BARBOSA</t>
  </si>
  <si>
    <t>ACPM(68847 KM)</t>
  </si>
  <si>
    <t>PROBADOR DE CORRIENTE</t>
  </si>
  <si>
    <t>ACPM (69997 KM)</t>
  </si>
  <si>
    <t>ACPM (68398KM)</t>
  </si>
  <si>
    <t>ACPM (67959KM)</t>
  </si>
  <si>
    <t>ACPM (69547KM)</t>
  </si>
  <si>
    <t>KM</t>
  </si>
  <si>
    <t>GL</t>
  </si>
  <si>
    <t>HORAS</t>
  </si>
  <si>
    <t>CAMBIO DE ACEITE Y FILTROS(COMBUSTIBLE, ACEITE, AIRE)</t>
  </si>
  <si>
    <t>ACPM (69962KM)</t>
  </si>
  <si>
    <t>ACPM (70100 KM)</t>
  </si>
  <si>
    <t>PEAJE BARBOSA(2)</t>
  </si>
  <si>
    <t>SALDO A FAVOR FEBRERO</t>
  </si>
  <si>
    <t>SALDO A FAVOR</t>
  </si>
  <si>
    <t>ACPM (70461 KM</t>
  </si>
  <si>
    <t>RECONOCER 70MIL DE ACPM</t>
  </si>
  <si>
    <t>VIAJE PUERTO TRIUNFO</t>
  </si>
  <si>
    <t>PEAJES (2) COPACABANA</t>
  </si>
  <si>
    <t>PEAJES (2) COCORNA</t>
  </si>
  <si>
    <t>VIATICOS 2 DIAS</t>
  </si>
  <si>
    <t>ACPM (71685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</si>
</sst>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\ #,##0;[Red]\-&quot;$&quot;\ #,##0"/>
    <numFmt numFmtId="8" formatCode="&quot;$&quot;\ #,##0.00;[Red]\-&quot;$&quot;\ #,##0.00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#,#00"/>
    <numFmt numFmtId="166" formatCode="_-&quot;$&quot;* #,##0_-;\-&quot;$&quot;* #,##0_-;_-&quot;$&quot;* &quot;-&quot;??_-;_-@_-"/>
    <numFmt numFmtId="167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2" xfId="0" applyNumberFormat="1" applyBorder="1"/>
    <xf numFmtId="14" fontId="0" fillId="0" borderId="3" xfId="0" applyNumberFormat="1" applyBorder="1"/>
    <xf numFmtId="0" fontId="0" fillId="0" borderId="6" xfId="0" applyBorder="1"/>
    <xf numFmtId="0" fontId="0" fillId="0" borderId="7" xfId="0" applyBorder="1"/>
    <xf numFmtId="14" fontId="0" fillId="0" borderId="6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4" xfId="0" applyFill="1" applyBorder="1"/>
    <xf numFmtId="0" fontId="2" fillId="0" borderId="0" xfId="0" applyFont="1" applyFill="1" applyBorder="1" applyAlignment="1">
      <alignment horizontal="center"/>
    </xf>
    <xf numFmtId="16" fontId="0" fillId="0" borderId="0" xfId="0" applyNumberFormat="1"/>
    <xf numFmtId="16" fontId="0" fillId="0" borderId="2" xfId="0" applyNumberFormat="1" applyBorder="1"/>
    <xf numFmtId="0" fontId="0" fillId="0" borderId="0" xfId="0" applyFill="1" applyBorder="1"/>
    <xf numFmtId="16" fontId="0" fillId="0" borderId="3" xfId="0" applyNumberFormat="1" applyBorder="1"/>
    <xf numFmtId="16" fontId="0" fillId="0" borderId="0" xfId="0" applyNumberFormat="1" applyFill="1" applyBorder="1"/>
    <xf numFmtId="16" fontId="5" fillId="0" borderId="2" xfId="0" applyNumberFormat="1" applyFont="1" applyBorder="1"/>
    <xf numFmtId="0" fontId="5" fillId="0" borderId="7" xfId="0" applyFont="1" applyBorder="1"/>
    <xf numFmtId="0" fontId="5" fillId="0" borderId="11" xfId="0" applyFont="1" applyBorder="1"/>
    <xf numFmtId="14" fontId="5" fillId="0" borderId="6" xfId="0" applyNumberFormat="1" applyFont="1" applyBorder="1"/>
    <xf numFmtId="0" fontId="5" fillId="0" borderId="1" xfId="0" applyFont="1" applyBorder="1"/>
    <xf numFmtId="0" fontId="5" fillId="0" borderId="12" xfId="0" applyFont="1" applyBorder="1"/>
    <xf numFmtId="0" fontId="5" fillId="0" borderId="14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/>
    <xf numFmtId="0" fontId="0" fillId="2" borderId="0" xfId="0" applyFill="1"/>
    <xf numFmtId="0" fontId="5" fillId="2" borderId="0" xfId="0" applyFont="1" applyFill="1" applyBorder="1"/>
    <xf numFmtId="0" fontId="0" fillId="2" borderId="14" xfId="0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17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0" fontId="5" fillId="3" borderId="0" xfId="0" applyFont="1" applyFill="1" applyAlignment="1">
      <alignment wrapText="1"/>
    </xf>
    <xf numFmtId="0" fontId="2" fillId="0" borderId="15" xfId="0" applyFont="1" applyBorder="1" applyAlignment="1">
      <alignment horizontal="center"/>
    </xf>
    <xf numFmtId="14" fontId="5" fillId="0" borderId="16" xfId="0" applyNumberFormat="1" applyFont="1" applyBorder="1"/>
    <xf numFmtId="0" fontId="2" fillId="0" borderId="1" xfId="0" applyFont="1" applyBorder="1" applyAlignment="1">
      <alignment horizontal="center"/>
    </xf>
    <xf numFmtId="166" fontId="5" fillId="0" borderId="7" xfId="2" applyNumberFormat="1" applyFont="1" applyBorder="1"/>
    <xf numFmtId="166" fontId="5" fillId="0" borderId="1" xfId="2" applyNumberFormat="1" applyFont="1" applyBorder="1"/>
    <xf numFmtId="166" fontId="5" fillId="0" borderId="4" xfId="2" applyNumberFormat="1" applyFont="1" applyBorder="1"/>
    <xf numFmtId="166" fontId="5" fillId="0" borderId="0" xfId="2" applyNumberFormat="1" applyFont="1"/>
    <xf numFmtId="0" fontId="0" fillId="4" borderId="0" xfId="0" applyFill="1" applyAlignment="1">
      <alignment wrapText="1"/>
    </xf>
    <xf numFmtId="166" fontId="0" fillId="0" borderId="7" xfId="2" applyNumberFormat="1" applyFont="1" applyBorder="1"/>
    <xf numFmtId="166" fontId="0" fillId="0" borderId="11" xfId="2" applyNumberFormat="1" applyFont="1" applyBorder="1"/>
    <xf numFmtId="166" fontId="0" fillId="0" borderId="17" xfId="2" applyNumberFormat="1" applyFont="1" applyBorder="1"/>
    <xf numFmtId="166" fontId="0" fillId="0" borderId="1" xfId="2" applyNumberFormat="1" applyFont="1" applyBorder="1"/>
    <xf numFmtId="166" fontId="0" fillId="0" borderId="12" xfId="2" applyNumberFormat="1" applyFont="1" applyBorder="1"/>
    <xf numFmtId="166" fontId="0" fillId="0" borderId="18" xfId="2" applyNumberFormat="1" applyFont="1" applyBorder="1"/>
    <xf numFmtId="166" fontId="0" fillId="0" borderId="4" xfId="2" applyNumberFormat="1" applyFont="1" applyBorder="1"/>
    <xf numFmtId="166" fontId="0" fillId="0" borderId="13" xfId="2" applyNumberFormat="1" applyFont="1" applyBorder="1"/>
    <xf numFmtId="166" fontId="0" fillId="0" borderId="0" xfId="2" applyNumberFormat="1" applyFont="1"/>
    <xf numFmtId="166" fontId="0" fillId="0" borderId="12" xfId="2" applyNumberFormat="1" applyFont="1" applyFill="1" applyBorder="1"/>
    <xf numFmtId="167" fontId="0" fillId="3" borderId="0" xfId="3" applyNumberFormat="1" applyFont="1" applyFill="1"/>
    <xf numFmtId="167" fontId="0" fillId="4" borderId="0" xfId="3" applyNumberFormat="1" applyFont="1" applyFill="1"/>
    <xf numFmtId="0" fontId="0" fillId="5" borderId="0" xfId="0" applyFill="1"/>
    <xf numFmtId="167" fontId="0" fillId="5" borderId="0" xfId="0" applyNumberFormat="1" applyFill="1"/>
    <xf numFmtId="14" fontId="0" fillId="0" borderId="16" xfId="0" applyNumberFormat="1" applyBorder="1"/>
    <xf numFmtId="16" fontId="5" fillId="0" borderId="19" xfId="0" applyNumberFormat="1" applyFont="1" applyBorder="1"/>
    <xf numFmtId="0" fontId="5" fillId="0" borderId="20" xfId="0" applyFont="1" applyBorder="1"/>
    <xf numFmtId="166" fontId="5" fillId="0" borderId="21" xfId="2" applyNumberFormat="1" applyFont="1" applyBorder="1"/>
    <xf numFmtId="16" fontId="5" fillId="0" borderId="1" xfId="0" applyNumberFormat="1" applyFont="1" applyBorder="1"/>
    <xf numFmtId="16" fontId="0" fillId="0" borderId="1" xfId="0" applyNumberFormat="1" applyBorder="1"/>
    <xf numFmtId="0" fontId="5" fillId="0" borderId="1" xfId="0" applyFont="1" applyFill="1" applyBorder="1"/>
    <xf numFmtId="166" fontId="0" fillId="0" borderId="1" xfId="0" applyNumberFormat="1" applyBorder="1"/>
    <xf numFmtId="0" fontId="0" fillId="0" borderId="0" xfId="0" applyAlignment="1">
      <alignment wrapText="1"/>
    </xf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166" fontId="0" fillId="2" borderId="0" xfId="2" applyNumberFormat="1" applyFont="1" applyFill="1"/>
    <xf numFmtId="2" fontId="0" fillId="4" borderId="0" xfId="0" applyNumberFormat="1" applyFill="1"/>
    <xf numFmtId="2" fontId="0" fillId="0" borderId="0" xfId="2" applyNumberFormat="1" applyFont="1"/>
    <xf numFmtId="2" fontId="0" fillId="0" borderId="0" xfId="0" applyNumberFormat="1"/>
    <xf numFmtId="166" fontId="8" fillId="0" borderId="0" xfId="2" applyNumberFormat="1" applyFont="1"/>
    <xf numFmtId="2" fontId="8" fillId="0" borderId="0" xfId="2" applyNumberFormat="1" applyFont="1"/>
    <xf numFmtId="166" fontId="5" fillId="0" borderId="0" xfId="2" applyNumberFormat="1" applyFont="1" applyFill="1" applyBorder="1"/>
    <xf numFmtId="0" fontId="5" fillId="0" borderId="21" xfId="0" applyFont="1" applyBorder="1"/>
    <xf numFmtId="14" fontId="5" fillId="0" borderId="1" xfId="0" applyNumberFormat="1" applyFont="1" applyBorder="1"/>
    <xf numFmtId="166" fontId="5" fillId="0" borderId="14" xfId="2" applyNumberFormat="1" applyFont="1" applyFill="1" applyBorder="1"/>
    <xf numFmtId="166" fontId="5" fillId="0" borderId="0" xfId="2" applyNumberFormat="1" applyFont="1" applyBorder="1"/>
    <xf numFmtId="0" fontId="0" fillId="0" borderId="1" xfId="0" applyFill="1" applyBorder="1"/>
    <xf numFmtId="166" fontId="5" fillId="0" borderId="1" xfId="2" applyNumberFormat="1" applyFont="1" applyFill="1" applyBorder="1"/>
    <xf numFmtId="166" fontId="9" fillId="0" borderId="0" xfId="2" applyNumberFormat="1" applyFont="1"/>
    <xf numFmtId="2" fontId="9" fillId="0" borderId="0" xfId="2" applyNumberFormat="1" applyFont="1"/>
    <xf numFmtId="16" fontId="5" fillId="0" borderId="23" xfId="0" applyNumberFormat="1" applyFont="1" applyBorder="1"/>
    <xf numFmtId="14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166" fontId="9" fillId="0" borderId="0" xfId="2" applyNumberFormat="1" applyFont="1" applyBorder="1"/>
    <xf numFmtId="2" fontId="9" fillId="0" borderId="0" xfId="2" applyNumberFormat="1" applyFont="1" applyBorder="1"/>
    <xf numFmtId="2" fontId="0" fillId="0" borderId="0" xfId="0" applyNumberFormat="1" applyBorder="1"/>
    <xf numFmtId="166" fontId="0" fillId="0" borderId="0" xfId="2" applyNumberFormat="1" applyFont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" fontId="5" fillId="0" borderId="0" xfId="0" applyNumberFormat="1" applyFont="1"/>
    <xf numFmtId="16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0" fillId="0" borderId="0" xfId="0" applyNumberFormat="1"/>
    <xf numFmtId="16" fontId="5" fillId="2" borderId="2" xfId="0" applyNumberFormat="1" applyFont="1" applyFill="1" applyBorder="1"/>
    <xf numFmtId="0" fontId="5" fillId="2" borderId="1" xfId="0" applyFont="1" applyFill="1" applyBorder="1"/>
    <xf numFmtId="166" fontId="5" fillId="2" borderId="1" xfId="2" applyNumberFormat="1" applyFont="1" applyFill="1" applyBorder="1"/>
    <xf numFmtId="16" fontId="5" fillId="2" borderId="1" xfId="0" applyNumberFormat="1" applyFont="1" applyFill="1" applyBorder="1"/>
    <xf numFmtId="6" fontId="0" fillId="0" borderId="1" xfId="0" applyNumberForma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6" fontId="11" fillId="0" borderId="1" xfId="2" applyNumberFormat="1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16" fontId="5" fillId="0" borderId="2" xfId="0" applyNumberFormat="1" applyFont="1" applyFill="1" applyBorder="1"/>
    <xf numFmtId="2" fontId="0" fillId="6" borderId="0" xfId="0" applyNumberFormat="1" applyFill="1"/>
    <xf numFmtId="166" fontId="5" fillId="0" borderId="7" xfId="2" applyNumberFormat="1" applyFont="1" applyFill="1" applyBorder="1"/>
    <xf numFmtId="17" fontId="0" fillId="0" borderId="0" xfId="0" applyNumberFormat="1"/>
    <xf numFmtId="166" fontId="0" fillId="2" borderId="0" xfId="0" applyNumberFormat="1" applyFill="1"/>
    <xf numFmtId="166" fontId="5" fillId="7" borderId="1" xfId="2" applyNumberFormat="1" applyFont="1" applyFill="1" applyBorder="1"/>
    <xf numFmtId="166" fontId="5" fillId="8" borderId="1" xfId="2" applyNumberFormat="1" applyFont="1" applyFill="1" applyBorder="1"/>
    <xf numFmtId="166" fontId="5" fillId="9" borderId="1" xfId="2" applyNumberFormat="1" applyFont="1" applyFill="1" applyBorder="1"/>
    <xf numFmtId="0" fontId="5" fillId="0" borderId="7" xfId="0" applyFont="1" applyFill="1" applyBorder="1"/>
    <xf numFmtId="16" fontId="5" fillId="0" borderId="1" xfId="0" applyNumberFormat="1" applyFont="1" applyFill="1" applyBorder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">
    <cellStyle name="Millares" xfId="3" builtinId="3"/>
    <cellStyle name="Moneda" xfId="2" builtinId="4"/>
    <cellStyle name="Normal" xfId="0" builtinId="0"/>
    <cellStyle name="Porcentaje" xfId="1" builtinId="5"/>
  </cellStyles>
  <dxfs count="1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/mm/yyyy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/>
        <top style="thin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  <vertical/>
        <horizontal/>
      </border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$&quot;* #,##0_-;\-&quot;$&quot;* #,##0_-;_-&quot;$&quot;* &quot;-&quot;??_-;_-@_-"/>
    </dxf>
    <dxf>
      <numFmt numFmtId="0" formatCode="General"/>
    </dxf>
    <dxf>
      <numFmt numFmtId="0" formatCode="General"/>
    </dxf>
    <dxf>
      <numFmt numFmtId="168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G42" totalsRowShown="0">
  <autoFilter ref="A2:G42" xr:uid="{00000000-0009-0000-0100-000001000000}"/>
  <tableColumns count="7">
    <tableColumn id="1" xr3:uid="{00000000-0010-0000-0000-000001000000}" name="FECHA" dataDxfId="155"/>
    <tableColumn id="6" xr3:uid="{00000000-0010-0000-0000-000006000000}" name="MES" dataDxfId="154">
      <calculatedColumnFormula>+TEXT(Tabla1[[#This Row],[FECHA]],"mmmm")</calculatedColumnFormula>
    </tableColumn>
    <tableColumn id="2" xr3:uid="{00000000-0010-0000-0000-000002000000}" name="KILOMETROS"/>
    <tableColumn id="3" xr3:uid="{00000000-0010-0000-0000-000003000000}" name="KM RECORRIDOS" dataDxfId="153">
      <calculatedColumnFormula>+C4-Tabla1[[#This Row],[KILOMETROS]]</calculatedColumnFormula>
    </tableColumn>
    <tableColumn id="4" xr3:uid="{00000000-0010-0000-0000-000004000000}" name="VALOR" dataDxfId="152" dataCellStyle="Moneda"/>
    <tableColumn id="7" xr3:uid="{00000000-0010-0000-0000-000007000000}" name="GALONES" dataDxfId="151" dataCellStyle="Moneda">
      <calculatedColumnFormula>+Tabla1[[#This Row],[VALOR]]/$H$2</calculatedColumnFormula>
    </tableColumn>
    <tableColumn id="5" xr3:uid="{00000000-0010-0000-0000-000005000000}" name="RENDIMIENTO kM/GL" dataDxfId="150">
      <calculatedColumnFormula>1*D4/Tabla1[[#This Row],[GALONES]]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2:H34" totalsRowShown="0" headerRowDxfId="149" headerRowBorderDxfId="148" tableBorderDxfId="147">
  <autoFilter ref="A2:H34" xr:uid="{00000000-0009-0000-0100-000002000000}"/>
  <tableColumns count="8">
    <tableColumn id="1" xr3:uid="{00000000-0010-0000-0100-000001000000}" name="FECHA"/>
    <tableColumn id="2" xr3:uid="{00000000-0010-0000-0100-000002000000}" name="CONCEPTO"/>
    <tableColumn id="3" xr3:uid="{00000000-0010-0000-0100-000003000000}" name="ENTRADA" dataDxfId="146" dataCellStyle="Moneda"/>
    <tableColumn id="4" xr3:uid="{00000000-0010-0000-0100-000004000000}" name="SALIDA" dataDxfId="145" dataCellStyle="Moneda"/>
    <tableColumn id="5" xr3:uid="{00000000-0010-0000-0100-000005000000}" name="SALDO" dataDxfId="144" dataCellStyle="Moneda">
      <calculatedColumnFormula>+E2+C3-D3</calculatedColumnFormula>
    </tableColumn>
    <tableColumn id="6" xr3:uid="{00000000-0010-0000-0100-000006000000}" name="FECHA2"/>
    <tableColumn id="7" xr3:uid="{00000000-0010-0000-0100-000007000000}" name="KILOMETROS"/>
    <tableColumn id="8" xr3:uid="{00000000-0010-0000-0100-000008000000}" name="TOTAL KM" dataDxfId="1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2:H40" totalsRowShown="0" tableBorderDxfId="142">
  <autoFilter ref="A2:H40" xr:uid="{00000000-0009-0000-0100-000003000000}"/>
  <tableColumns count="8">
    <tableColumn id="1" xr3:uid="{00000000-0010-0000-0200-000001000000}" name="FECHA"/>
    <tableColumn id="2" xr3:uid="{00000000-0010-0000-0200-000002000000}" name="CONCEPTO"/>
    <tableColumn id="3" xr3:uid="{00000000-0010-0000-0200-000003000000}" name="ENTRADA" dataDxfId="141" dataCellStyle="Moneda"/>
    <tableColumn id="4" xr3:uid="{00000000-0010-0000-0200-000004000000}" name="SALIDA" dataDxfId="140" dataCellStyle="Moneda"/>
    <tableColumn id="5" xr3:uid="{00000000-0010-0000-0200-000005000000}" name="SALDO" dataDxfId="139" dataCellStyle="Moneda"/>
    <tableColumn id="6" xr3:uid="{00000000-0010-0000-0200-000006000000}" name="FECHA2"/>
    <tableColumn id="7" xr3:uid="{00000000-0010-0000-0200-000007000000}" name="KILOMETROS"/>
    <tableColumn id="8" xr3:uid="{00000000-0010-0000-0200-000008000000}" name="TOTAL KM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2:H36" totalsRowShown="0" tableBorderDxfId="138">
  <autoFilter ref="A2:H36" xr:uid="{00000000-0009-0000-0100-000004000000}"/>
  <tableColumns count="8">
    <tableColumn id="1" xr3:uid="{00000000-0010-0000-0300-000001000000}" name="FECHA"/>
    <tableColumn id="2" xr3:uid="{00000000-0010-0000-0300-000002000000}" name="CONCEPTO"/>
    <tableColumn id="3" xr3:uid="{00000000-0010-0000-0300-000003000000}" name="ENTRADA"/>
    <tableColumn id="4" xr3:uid="{00000000-0010-0000-0300-000004000000}" name="SALIDA"/>
    <tableColumn id="5" xr3:uid="{00000000-0010-0000-0300-000005000000}" name="SALDO" dataDxfId="137" dataCellStyle="Moneda"/>
    <tableColumn id="6" xr3:uid="{00000000-0010-0000-0300-000006000000}" name="FECHA2"/>
    <tableColumn id="7" xr3:uid="{00000000-0010-0000-0300-000007000000}" name="KILOMETROS"/>
    <tableColumn id="8" xr3:uid="{00000000-0010-0000-0300-000008000000}" name="TOTAL KM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A2:H39" totalsRowShown="0" tableBorderDxfId="136">
  <autoFilter ref="A2:H39" xr:uid="{00000000-0009-0000-0100-000005000000}"/>
  <tableColumns count="8">
    <tableColumn id="1" xr3:uid="{00000000-0010-0000-0400-000001000000}" name="FECHA"/>
    <tableColumn id="2" xr3:uid="{00000000-0010-0000-0400-000002000000}" name="CONCEPTO" dataDxfId="135"/>
    <tableColumn id="3" xr3:uid="{00000000-0010-0000-0400-000003000000}" name="ENTRADA"/>
    <tableColumn id="4" xr3:uid="{00000000-0010-0000-0400-000004000000}" name="SALIDA" dataDxfId="134" dataCellStyle="Moneda"/>
    <tableColumn id="5" xr3:uid="{00000000-0010-0000-0400-000005000000}" name="SALDO" dataDxfId="133" dataCellStyle="Moneda"/>
    <tableColumn id="6" xr3:uid="{00000000-0010-0000-0400-000006000000}" name="FECHA2"/>
    <tableColumn id="7" xr3:uid="{00000000-0010-0000-0400-000007000000}" name="KILOMETROS"/>
    <tableColumn id="8" xr3:uid="{00000000-0010-0000-0400-000008000000}" name="TOTAL KM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A2:H35" totalsRowShown="0" tableBorderDxfId="132">
  <autoFilter ref="A2:H35" xr:uid="{00000000-0009-0000-0100-000006000000}"/>
  <tableColumns count="8">
    <tableColumn id="1" xr3:uid="{00000000-0010-0000-0500-000001000000}" name="FECHA"/>
    <tableColumn id="2" xr3:uid="{00000000-0010-0000-0500-000002000000}" name="CONCEPTO"/>
    <tableColumn id="3" xr3:uid="{00000000-0010-0000-0500-000003000000}" name="ENTRADA"/>
    <tableColumn id="4" xr3:uid="{00000000-0010-0000-0500-000004000000}" name="SALIDA"/>
    <tableColumn id="5" xr3:uid="{00000000-0010-0000-0500-000005000000}" name="SALDO"/>
    <tableColumn id="6" xr3:uid="{00000000-0010-0000-0500-000006000000}" name="FECHA2"/>
    <tableColumn id="7" xr3:uid="{00000000-0010-0000-0500-000007000000}" name="KILOMETROS"/>
    <tableColumn id="8" xr3:uid="{00000000-0010-0000-0500-000008000000}" name="TOTAL KM" dataDxfId="13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A2:H56" totalsRowShown="0" headerRowDxfId="130" dataDxfId="129">
  <autoFilter ref="A2:H56" xr:uid="{00000000-0009-0000-0100-000007000000}"/>
  <tableColumns count="8">
    <tableColumn id="1" xr3:uid="{00000000-0010-0000-0600-000001000000}" name="FECHA" dataDxfId="128"/>
    <tableColumn id="2" xr3:uid="{00000000-0010-0000-0600-000002000000}" name="CONCEPTO" dataDxfId="127"/>
    <tableColumn id="3" xr3:uid="{00000000-0010-0000-0600-000003000000}" name="ENTRADA" dataDxfId="126"/>
    <tableColumn id="4" xr3:uid="{00000000-0010-0000-0600-000004000000}" name="SALIDA" dataDxfId="125"/>
    <tableColumn id="5" xr3:uid="{00000000-0010-0000-0600-000005000000}" name="SALDO" dataDxfId="124"/>
    <tableColumn id="6" xr3:uid="{00000000-0010-0000-0600-000006000000}" name="FECHA2" dataDxfId="123"/>
    <tableColumn id="7" xr3:uid="{00000000-0010-0000-0600-000007000000}" name="KILOMETROS" dataDxfId="122"/>
    <tableColumn id="8" xr3:uid="{00000000-0010-0000-0600-000008000000}" name="TOTAL KM" dataDxfId="12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A2:H35" totalsRowShown="0" tableBorderDxfId="120">
  <autoFilter ref="A2:H35" xr:uid="{00000000-0009-0000-0100-000008000000}"/>
  <tableColumns count="8">
    <tableColumn id="1" xr3:uid="{00000000-0010-0000-0700-000001000000}" name="FECHA" dataDxfId="119"/>
    <tableColumn id="2" xr3:uid="{00000000-0010-0000-0700-000002000000}" name="CONCEPTO" dataDxfId="118"/>
    <tableColumn id="3" xr3:uid="{00000000-0010-0000-0700-000003000000}" name="ENTRADA" dataDxfId="117" dataCellStyle="Moneda"/>
    <tableColumn id="4" xr3:uid="{00000000-0010-0000-0700-000004000000}" name="SALIDA" dataDxfId="116" dataCellStyle="Moneda"/>
    <tableColumn id="5" xr3:uid="{00000000-0010-0000-0700-000005000000}" name="SALDO" dataDxfId="115" dataCellStyle="Moneda"/>
    <tableColumn id="6" xr3:uid="{00000000-0010-0000-0700-000006000000}" name="FECHA2" dataDxfId="114"/>
    <tableColumn id="7" xr3:uid="{00000000-0010-0000-0700-000007000000}" name="KILOMETROS" dataDxfId="113"/>
    <tableColumn id="8" xr3:uid="{00000000-0010-0000-0700-000008000000}" name="TOTAL KM" dataDxfId="1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A2:H35" totalsRowShown="0" tableBorderDxfId="111">
  <autoFilter ref="A2:H35" xr:uid="{00000000-0009-0000-0100-000009000000}"/>
  <tableColumns count="8">
    <tableColumn id="1" xr3:uid="{00000000-0010-0000-0800-000001000000}" name="FECHA" dataDxfId="110"/>
    <tableColumn id="2" xr3:uid="{00000000-0010-0000-0800-000002000000}" name="CONCEPTO" dataDxfId="109"/>
    <tableColumn id="3" xr3:uid="{00000000-0010-0000-0800-000003000000}" name="ENTRADA" dataDxfId="108" dataCellStyle="Moneda"/>
    <tableColumn id="4" xr3:uid="{00000000-0010-0000-0800-000004000000}" name="SALIDA" dataDxfId="107" dataCellStyle="Moneda"/>
    <tableColumn id="5" xr3:uid="{00000000-0010-0000-0800-000005000000}" name="SALDO" dataDxfId="106" dataCellStyle="Moneda"/>
    <tableColumn id="6" xr3:uid="{00000000-0010-0000-0800-000006000000}" name="FECHA2"/>
    <tableColumn id="7" xr3:uid="{00000000-0010-0000-0800-000007000000}" name="KILOMETROS" dataDxfId="105"/>
    <tableColumn id="8" xr3:uid="{00000000-0010-0000-0800-000008000000}" name="TOTAL KM" dataDxfId="10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A2:H36" totalsRowShown="0" tableBorderDxfId="103">
  <autoFilter ref="A2:H36" xr:uid="{00000000-0009-0000-0100-00000A000000}"/>
  <tableColumns count="8">
    <tableColumn id="1" xr3:uid="{00000000-0010-0000-0900-000001000000}" name="FECHA" dataDxfId="102"/>
    <tableColumn id="2" xr3:uid="{00000000-0010-0000-0900-000002000000}" name="CONCEPTO" dataDxfId="101"/>
    <tableColumn id="3" xr3:uid="{00000000-0010-0000-0900-000003000000}" name="ENTRADA" dataDxfId="100" dataCellStyle="Moneda"/>
    <tableColumn id="4" xr3:uid="{00000000-0010-0000-0900-000004000000}" name="SALIDA" dataDxfId="99" dataCellStyle="Moneda"/>
    <tableColumn id="5" xr3:uid="{00000000-0010-0000-0900-000005000000}" name="SALDO" dataDxfId="98" dataCellStyle="Moneda"/>
    <tableColumn id="6" xr3:uid="{00000000-0010-0000-0900-000006000000}" name="FECHA2"/>
    <tableColumn id="7" xr3:uid="{00000000-0010-0000-0900-000007000000}" name="KILOMETROS" dataDxfId="97"/>
    <tableColumn id="8" xr3:uid="{00000000-0010-0000-0900-000008000000}" name="TOTAL KM" dataDxfId="96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A2:H36" totalsRowShown="0" tableBorderDxfId="95">
  <autoFilter ref="A2:H36" xr:uid="{00000000-0009-0000-0100-00000B000000}"/>
  <tableColumns count="8">
    <tableColumn id="1" xr3:uid="{00000000-0010-0000-0A00-000001000000}" name="FECHA" dataDxfId="94"/>
    <tableColumn id="2" xr3:uid="{00000000-0010-0000-0A00-000002000000}" name="CONCEPTO" dataDxfId="93"/>
    <tableColumn id="3" xr3:uid="{00000000-0010-0000-0A00-000003000000}" name="ENTRADA" dataDxfId="92" dataCellStyle="Moneda"/>
    <tableColumn id="4" xr3:uid="{00000000-0010-0000-0A00-000004000000}" name="SALIDA" dataDxfId="91" dataCellStyle="Moneda"/>
    <tableColumn id="5" xr3:uid="{00000000-0010-0000-0A00-000005000000}" name="SALDO" dataDxfId="90" dataCellStyle="Moneda"/>
    <tableColumn id="6" xr3:uid="{00000000-0010-0000-0A00-000006000000}" name="FECHA2"/>
    <tableColumn id="7" xr3:uid="{00000000-0010-0000-0A00-000007000000}" name="KILOMETROS" dataDxfId="89"/>
    <tableColumn id="8" xr3:uid="{00000000-0010-0000-0A00-000008000000}" name="TOTAL KM" dataDxfId="8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A2:H36" totalsRowShown="0" tableBorderDxfId="87">
  <autoFilter ref="A2:H36" xr:uid="{00000000-0009-0000-0100-00000C000000}"/>
  <tableColumns count="8">
    <tableColumn id="1" xr3:uid="{00000000-0010-0000-0B00-000001000000}" name="FECHA" dataDxfId="86"/>
    <tableColumn id="2" xr3:uid="{00000000-0010-0000-0B00-000002000000}" name="CONCEPTO" dataDxfId="85"/>
    <tableColumn id="3" xr3:uid="{00000000-0010-0000-0B00-000003000000}" name="ENTRADA" dataDxfId="84" dataCellStyle="Moneda"/>
    <tableColumn id="4" xr3:uid="{00000000-0010-0000-0B00-000004000000}" name="SALIDA" dataDxfId="83" dataCellStyle="Moneda"/>
    <tableColumn id="5" xr3:uid="{00000000-0010-0000-0B00-000005000000}" name="SALDO" dataDxfId="82" dataCellStyle="Moneda"/>
    <tableColumn id="6" xr3:uid="{00000000-0010-0000-0B00-000006000000}" name="FECHA2"/>
    <tableColumn id="7" xr3:uid="{00000000-0010-0000-0B00-000007000000}" name="KILOMETROS" dataDxfId="81"/>
    <tableColumn id="8" xr3:uid="{00000000-0010-0000-0B00-000008000000}" name="TOTAL KM" dataDxfId="80">
      <calculatedColumnFormula>+G4-G3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214" displayName="Tabla1214" ref="A2:H35" totalsRowShown="0" tableBorderDxfId="79">
  <autoFilter ref="A2:H35" xr:uid="{00000000-0009-0000-0100-00000D000000}"/>
  <tableColumns count="8">
    <tableColumn id="1" xr3:uid="{00000000-0010-0000-0C00-000001000000}" name="FECHA" dataDxfId="78"/>
    <tableColumn id="2" xr3:uid="{00000000-0010-0000-0C00-000002000000}" name="CONCEPTO" dataDxfId="77"/>
    <tableColumn id="3" xr3:uid="{00000000-0010-0000-0C00-000003000000}" name="ENTRADA" dataDxfId="76" dataCellStyle="Moneda"/>
    <tableColumn id="4" xr3:uid="{00000000-0010-0000-0C00-000004000000}" name="SALIDA" dataDxfId="75" dataCellStyle="Moneda"/>
    <tableColumn id="5" xr3:uid="{00000000-0010-0000-0C00-000005000000}" name="SALDO" dataDxfId="74" dataCellStyle="Moneda"/>
    <tableColumn id="6" xr3:uid="{00000000-0010-0000-0C00-000006000000}" name="FECHA2"/>
    <tableColumn id="7" xr3:uid="{00000000-0010-0000-0C00-000007000000}" name="KILOMETROS" dataDxfId="73"/>
    <tableColumn id="8" xr3:uid="{00000000-0010-0000-0C00-000008000000}" name="TOTAL KM" dataDxfId="7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a121415" displayName="Tabla121415" ref="A2:H35" totalsRowShown="0" tableBorderDxfId="71">
  <autoFilter ref="A2:H35" xr:uid="{00000000-0009-0000-0100-00000E000000}"/>
  <tableColumns count="8">
    <tableColumn id="1" xr3:uid="{00000000-0010-0000-0D00-000001000000}" name="FECHA" dataDxfId="70"/>
    <tableColumn id="2" xr3:uid="{00000000-0010-0000-0D00-000002000000}" name="CONCEPTO" dataDxfId="69"/>
    <tableColumn id="3" xr3:uid="{00000000-0010-0000-0D00-000003000000}" name="ENTRADA" dataDxfId="68" dataCellStyle="Moneda"/>
    <tableColumn id="4" xr3:uid="{00000000-0010-0000-0D00-000004000000}" name="SALIDA" dataDxfId="67" dataCellStyle="Moneda"/>
    <tableColumn id="5" xr3:uid="{00000000-0010-0000-0D00-000005000000}" name="SALDO" dataDxfId="66" dataCellStyle="Moneda"/>
    <tableColumn id="6" xr3:uid="{00000000-0010-0000-0D00-000006000000}" name="FECHA2"/>
    <tableColumn id="7" xr3:uid="{00000000-0010-0000-0D00-000007000000}" name="KILOMETROS" dataDxfId="65"/>
    <tableColumn id="8" xr3:uid="{00000000-0010-0000-0D00-000008000000}" name="TOTAL KM" dataDxfId="64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a12141516" displayName="Tabla12141516" ref="A2:H35" totalsRowShown="0" tableBorderDxfId="63">
  <autoFilter ref="A2:H35" xr:uid="{00000000-0009-0000-0100-00000F000000}"/>
  <tableColumns count="8">
    <tableColumn id="1" xr3:uid="{00000000-0010-0000-0E00-000001000000}" name="FECHA" dataDxfId="62"/>
    <tableColumn id="2" xr3:uid="{00000000-0010-0000-0E00-000002000000}" name="CONCEPTO" dataDxfId="61"/>
    <tableColumn id="3" xr3:uid="{00000000-0010-0000-0E00-000003000000}" name="ENTRADA" dataDxfId="60" dataCellStyle="Moneda"/>
    <tableColumn id="4" xr3:uid="{00000000-0010-0000-0E00-000004000000}" name="SALIDA" dataDxfId="59" dataCellStyle="Moneda"/>
    <tableColumn id="5" xr3:uid="{00000000-0010-0000-0E00-000005000000}" name="SALDO" dataDxfId="58" dataCellStyle="Moneda"/>
    <tableColumn id="6" xr3:uid="{00000000-0010-0000-0E00-000006000000}" name="FECHA2"/>
    <tableColumn id="7" xr3:uid="{00000000-0010-0000-0E00-000007000000}" name="KILOMETROS" dataDxfId="57"/>
    <tableColumn id="8" xr3:uid="{00000000-0010-0000-0E00-000008000000}" name="TOTAL KM" dataDxfId="5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a1214151617" displayName="Tabla1214151617" ref="A2:H35" totalsRowShown="0" tableBorderDxfId="55">
  <autoFilter ref="A2:H35" xr:uid="{00000000-0009-0000-0100-000010000000}"/>
  <tableColumns count="8">
    <tableColumn id="1" xr3:uid="{00000000-0010-0000-0F00-000001000000}" name="FECHA" dataDxfId="54"/>
    <tableColumn id="2" xr3:uid="{00000000-0010-0000-0F00-000002000000}" name="CONCEPTO" dataDxfId="53"/>
    <tableColumn id="3" xr3:uid="{00000000-0010-0000-0F00-000003000000}" name="ENTRADA" dataDxfId="52" dataCellStyle="Moneda"/>
    <tableColumn id="4" xr3:uid="{00000000-0010-0000-0F00-000004000000}" name="SALIDA" dataDxfId="51" dataCellStyle="Moneda"/>
    <tableColumn id="5" xr3:uid="{00000000-0010-0000-0F00-000005000000}" name="SALDO" dataDxfId="50" dataCellStyle="Moneda"/>
    <tableColumn id="6" xr3:uid="{00000000-0010-0000-0F00-000006000000}" name="FECHA2"/>
    <tableColumn id="7" xr3:uid="{00000000-0010-0000-0F00-000007000000}" name="KILOMETROS" dataDxfId="49"/>
    <tableColumn id="8" xr3:uid="{00000000-0010-0000-0F00-000008000000}" name="TOTAL KM" dataDxfId="48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a1214151618" displayName="Tabla1214151618" ref="A2:H35" totalsRowShown="0" tableBorderDxfId="47">
  <autoFilter ref="A2:H35" xr:uid="{00000000-0009-0000-0100-000011000000}"/>
  <tableColumns count="8">
    <tableColumn id="1" xr3:uid="{00000000-0010-0000-1000-000001000000}" name="FECHA" dataDxfId="46"/>
    <tableColumn id="2" xr3:uid="{00000000-0010-0000-1000-000002000000}" name="CONCEPTO" dataDxfId="45"/>
    <tableColumn id="3" xr3:uid="{00000000-0010-0000-1000-000003000000}" name="ENTRADA" dataDxfId="44" dataCellStyle="Moneda"/>
    <tableColumn id="4" xr3:uid="{00000000-0010-0000-1000-000004000000}" name="SALIDA" dataDxfId="43" dataCellStyle="Moneda"/>
    <tableColumn id="5" xr3:uid="{00000000-0010-0000-1000-000005000000}" name="SALDO" dataDxfId="42" dataCellStyle="Moneda"/>
    <tableColumn id="6" xr3:uid="{00000000-0010-0000-1000-000006000000}" name="FECHA2"/>
    <tableColumn id="7" xr3:uid="{00000000-0010-0000-1000-000007000000}" name="KILOMETROS" dataDxfId="41"/>
    <tableColumn id="8" xr3:uid="{00000000-0010-0000-1000-000008000000}" name="TOTAL KM" dataDxfId="4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a121415161819" displayName="Tabla121415161819" ref="A2:H36" totalsRowShown="0" tableBorderDxfId="39">
  <autoFilter ref="A2:H36" xr:uid="{00000000-0009-0000-0100-000012000000}"/>
  <tableColumns count="8">
    <tableColumn id="1" xr3:uid="{00000000-0010-0000-1100-000001000000}" name="FECHA" dataDxfId="38"/>
    <tableColumn id="2" xr3:uid="{00000000-0010-0000-1100-000002000000}" name="CONCEPTO" dataDxfId="37"/>
    <tableColumn id="3" xr3:uid="{00000000-0010-0000-1100-000003000000}" name="ENTRADA" dataDxfId="36" dataCellStyle="Moneda"/>
    <tableColumn id="4" xr3:uid="{00000000-0010-0000-1100-000004000000}" name="SALIDA" dataDxfId="35" dataCellStyle="Moneda"/>
    <tableColumn id="5" xr3:uid="{00000000-0010-0000-1100-000005000000}" name="SALDO" dataDxfId="34" dataCellStyle="Moneda"/>
    <tableColumn id="6" xr3:uid="{00000000-0010-0000-1100-000006000000}" name="FECHA2"/>
    <tableColumn id="7" xr3:uid="{00000000-0010-0000-1100-000007000000}" name="KILOMETROS" dataDxfId="33"/>
    <tableColumn id="8" xr3:uid="{00000000-0010-0000-1100-000008000000}" name="TOTAL KM" dataDxfId="32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8AF8CD8-CDE2-40DF-8CE0-963013A39060}" name="Tabla12141516181920" displayName="Tabla12141516181920" ref="A2:H35" totalsRowShown="0" tableBorderDxfId="31">
  <autoFilter ref="A2:H35" xr:uid="{D8AF8CD8-CDE2-40DF-8CE0-963013A39060}"/>
  <tableColumns count="8">
    <tableColumn id="1" xr3:uid="{125DD606-84DD-4208-A6DE-C007129AE503}" name="FECHA" dataDxfId="30"/>
    <tableColumn id="2" xr3:uid="{6E373D5A-1F64-4F53-A6D3-171A08D8B7C3}" name="CONCEPTO" dataDxfId="29"/>
    <tableColumn id="3" xr3:uid="{ACD7468A-7871-4800-9875-44F6038331C0}" name="ENTRADA" dataDxfId="28" dataCellStyle="Moneda"/>
    <tableColumn id="4" xr3:uid="{E36F378A-98A6-4883-82CA-ED279EA9F04F}" name="SALIDA" dataDxfId="27" dataCellStyle="Moneda"/>
    <tableColumn id="5" xr3:uid="{D5FC7ABD-20F5-48D2-B98E-1DA1D746AA6F}" name="SALDO" dataDxfId="26" dataCellStyle="Moneda"/>
    <tableColumn id="6" xr3:uid="{500F9B9E-92DD-452D-AEEC-E5543FF1FE47}" name="FECHA2"/>
    <tableColumn id="7" xr3:uid="{66FACFCE-80BC-4B3B-BA39-980EC00E0782}" name="KILOMETROS" dataDxfId="25"/>
    <tableColumn id="8" xr3:uid="{CAF6050E-B9B7-49C4-A74B-0AB63F73FFE4}" name="TOTAL KM" dataDxfId="24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9F4F805-EA58-4632-BCAA-96A994660295}" name="Tabla1214151618192021" displayName="Tabla1214151618192021" ref="A2:H35" totalsRowShown="0" tableBorderDxfId="23">
  <autoFilter ref="A2:H35" xr:uid="{49F4F805-EA58-4632-BCAA-96A994660295}"/>
  <tableColumns count="8">
    <tableColumn id="1" xr3:uid="{59E300E6-DD18-464E-A3C0-D57990993586}" name="FECHA" dataDxfId="22"/>
    <tableColumn id="2" xr3:uid="{CD4191B9-4C33-499A-A3C7-AEC6608B7498}" name="CONCEPTO" dataDxfId="21"/>
    <tableColumn id="3" xr3:uid="{0D00C86F-27F4-40C4-9BC2-335C6DF248D7}" name="ENTRADA" dataDxfId="20" dataCellStyle="Moneda"/>
    <tableColumn id="4" xr3:uid="{848B5999-5D8C-4F9A-A56D-2DE60A7D3599}" name="SALIDA" dataDxfId="19" dataCellStyle="Moneda"/>
    <tableColumn id="5" xr3:uid="{F6F844C6-6446-46B4-BB19-661A579B7203}" name="SALDO" dataDxfId="18" dataCellStyle="Moneda"/>
    <tableColumn id="6" xr3:uid="{AE8474B6-677E-4235-9AEF-7F889017ED98}" name="FECHA2"/>
    <tableColumn id="7" xr3:uid="{483B4EEC-D5C7-40F0-B62D-0BD4E0895445}" name="KILOMETROS" dataDxfId="17"/>
    <tableColumn id="8" xr3:uid="{903B9D0C-042A-4DF9-B11E-E7980E29D463}" name="TOTAL KM" dataDxfId="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21A7F94-A1AD-4586-B709-AEDC5FB97E4C}" name="Tabla121415161819202122" displayName="Tabla121415161819202122" ref="A2:H35" totalsRowShown="0" tableBorderDxfId="15">
  <autoFilter ref="A2:H35" xr:uid="{021A7F94-A1AD-4586-B709-AEDC5FB97E4C}"/>
  <tableColumns count="8">
    <tableColumn id="1" xr3:uid="{8E8B0C99-DCB3-40E5-9BFC-6F695F93CC58}" name="FECHA" dataDxfId="14"/>
    <tableColumn id="2" xr3:uid="{2D56077E-BAA8-4BB6-ADDF-13EDB9A25753}" name="CONCEPTO" dataDxfId="13"/>
    <tableColumn id="3" xr3:uid="{6AEC9184-6601-48A9-9098-283D3D6BBBA4}" name="ENTRADA" dataDxfId="12" dataCellStyle="Moneda"/>
    <tableColumn id="4" xr3:uid="{195CECF5-899C-4B63-AA3C-23D3D6956795}" name="SALIDA" dataDxfId="11" dataCellStyle="Moneda"/>
    <tableColumn id="5" xr3:uid="{26B44F98-A1FF-47CE-9216-7C82CC4E5FF9}" name="SALDO" dataDxfId="10" dataCellStyle="Moneda"/>
    <tableColumn id="6" xr3:uid="{D8036928-34CE-4ABB-A759-2023EBA7B5EB}" name="FECHA2"/>
    <tableColumn id="7" xr3:uid="{DD067317-E1B7-4FA3-88D0-5CD8C255F2B7}" name="KILOMETROS" dataDxfId="9"/>
    <tableColumn id="8" xr3:uid="{F6210E06-F2EE-4B7E-9F12-0DE9BDE4BC18}" name="TOTAL KM" dataDxfId="8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735C544-CB6B-4D88-805F-6DFFE66F34EA}" name="Tabla12141516181920212223" displayName="Tabla12141516181920212223" ref="A2:H35" totalsRowShown="0" tableBorderDxfId="7">
  <autoFilter ref="A2:H35" xr:uid="{7735C544-CB6B-4D88-805F-6DFFE66F34EA}"/>
  <tableColumns count="8">
    <tableColumn id="1" xr3:uid="{B3BD88C5-4B52-49D4-BFCB-91711C42DFEE}" name="FECHA" dataDxfId="6"/>
    <tableColumn id="2" xr3:uid="{A806ADF1-0094-43F1-9056-5F082F142E5D}" name="CONCEPTO" dataDxfId="5"/>
    <tableColumn id="3" xr3:uid="{79A20193-A547-4CCB-A85C-487A4EF059B1}" name="ENTRADA" dataDxfId="4" dataCellStyle="Moneda"/>
    <tableColumn id="4" xr3:uid="{26D4C50A-15E8-4D20-817A-9260CB2029C1}" name="SALIDA" dataDxfId="3" dataCellStyle="Moneda"/>
    <tableColumn id="5" xr3:uid="{29D152E4-E89C-4D1E-BDFA-3911579933B7}" name="SALDO" dataDxfId="2" dataCellStyle="Moneda"/>
    <tableColumn id="6" xr3:uid="{62B33DC0-56FA-4559-A319-E21A6FA7F08E}" name="FECHA2"/>
    <tableColumn id="7" xr3:uid="{EB8D43B6-8EFD-416E-ACE7-38C9DBBFE849}" name="KILOMETROS" dataDxfId="1"/>
    <tableColumn id="8" xr3:uid="{EA3FB273-FB35-47E8-9443-338FDC24F5C4}" name="TOTAL K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2"/>
  <sheetViews>
    <sheetView topLeftCell="A3" workbookViewId="0">
      <selection activeCell="E23" sqref="E17:E23"/>
    </sheetView>
  </sheetViews>
  <sheetFormatPr baseColWidth="10" defaultRowHeight="14.4" x14ac:dyDescent="0.3"/>
  <cols>
    <col min="3" max="3" width="14.5546875" customWidth="1"/>
    <col min="4" max="4" width="12" customWidth="1"/>
    <col min="5" max="5" width="12.5546875" bestFit="1" customWidth="1"/>
    <col min="6" max="6" width="12.5546875" customWidth="1"/>
    <col min="7" max="7" width="15.88671875" customWidth="1"/>
    <col min="10" max="10" width="12.5546875" bestFit="1" customWidth="1"/>
  </cols>
  <sheetData>
    <row r="1" spans="1:13" ht="28.8" x14ac:dyDescent="0.55000000000000004">
      <c r="A1" s="139" t="s">
        <v>47</v>
      </c>
      <c r="B1" s="139"/>
      <c r="C1" s="139"/>
      <c r="D1" s="139"/>
      <c r="E1" s="139"/>
      <c r="F1" s="139"/>
      <c r="G1" s="139"/>
      <c r="H1" t="s">
        <v>55</v>
      </c>
      <c r="I1" s="34" t="s">
        <v>107</v>
      </c>
      <c r="J1" s="77">
        <f>+SUMIF(Tabla1[MES],I1,Tabla1[VALOR])</f>
        <v>738224</v>
      </c>
    </row>
    <row r="2" spans="1:13" ht="28.8" x14ac:dyDescent="0.3">
      <c r="A2" t="s">
        <v>1</v>
      </c>
      <c r="B2" t="s">
        <v>56</v>
      </c>
      <c r="C2" t="s">
        <v>5</v>
      </c>
      <c r="D2" s="73" t="s">
        <v>54</v>
      </c>
      <c r="E2" t="s">
        <v>48</v>
      </c>
      <c r="F2" t="s">
        <v>58</v>
      </c>
      <c r="G2" s="73" t="s">
        <v>59</v>
      </c>
      <c r="H2">
        <v>8600</v>
      </c>
      <c r="I2" t="s">
        <v>99</v>
      </c>
      <c r="J2">
        <f>SUMIFS(Tabla1[VALOR],Tabla1[MES],"ENERO")</f>
        <v>668000</v>
      </c>
      <c r="L2" s="76"/>
      <c r="M2" s="76"/>
    </row>
    <row r="3" spans="1:13" x14ac:dyDescent="0.3">
      <c r="A3" s="75">
        <v>44167</v>
      </c>
      <c r="B3" s="74" t="str">
        <f>+TEXT(Tabla1[[#This Row],[FECHA]],"mmmm")</f>
        <v>diciembre</v>
      </c>
      <c r="C3">
        <v>34189</v>
      </c>
      <c r="D3">
        <f>+C4-Tabla1[[#This Row],[KILOMETROS]]</f>
        <v>175</v>
      </c>
      <c r="E3" s="59">
        <v>146105</v>
      </c>
      <c r="F3" s="79">
        <f>+Tabla1[[#This Row],[VALOR]]/$H$2</f>
        <v>16.988953488372093</v>
      </c>
      <c r="G3" s="80">
        <f>1*D4/Tabla1[[#This Row],[GALONES]]</f>
        <v>25.663734985113447</v>
      </c>
      <c r="I3" t="s">
        <v>75</v>
      </c>
      <c r="J3">
        <f>SUMIFS(Tabla1[VALOR],Tabla1[MES],"FEBRERO")</f>
        <v>835010</v>
      </c>
      <c r="L3" s="76"/>
      <c r="M3" s="76"/>
    </row>
    <row r="4" spans="1:13" x14ac:dyDescent="0.3">
      <c r="A4" s="75">
        <v>44173</v>
      </c>
      <c r="B4" s="74" t="str">
        <f>+TEXT(Tabla1[[#This Row],[FECHA]],"mmmm")</f>
        <v>diciembre</v>
      </c>
      <c r="C4">
        <v>34364</v>
      </c>
      <c r="D4">
        <f>+C5-Tabla1[[#This Row],[KILOMETROS]]</f>
        <v>436</v>
      </c>
      <c r="E4" s="59">
        <v>53179</v>
      </c>
      <c r="F4" s="79">
        <f>+Tabla1[[#This Row],[VALOR]]/$H$2</f>
        <v>6.1836046511627911</v>
      </c>
      <c r="G4" s="80">
        <f>1*D5/Tabla1[[#This Row],[GALONES]]</f>
        <v>44.14900618665262</v>
      </c>
      <c r="I4" t="s">
        <v>100</v>
      </c>
      <c r="J4">
        <f>SUMIFS(Tabla1[VALOR],Tabla1[MES],"MARZO")</f>
        <v>582126</v>
      </c>
    </row>
    <row r="5" spans="1:13" x14ac:dyDescent="0.3">
      <c r="A5" s="75">
        <v>44175</v>
      </c>
      <c r="B5" s="74" t="str">
        <f>+TEXT(Tabla1[[#This Row],[FECHA]],"mmmm")</f>
        <v>diciembre</v>
      </c>
      <c r="C5">
        <v>34800</v>
      </c>
      <c r="D5">
        <f>+C6-Tabla1[[#This Row],[KILOMETROS]]</f>
        <v>273</v>
      </c>
      <c r="E5" s="59">
        <v>93132</v>
      </c>
      <c r="F5" s="79">
        <f>+Tabla1[[#This Row],[VALOR]]/$H$2</f>
        <v>10.829302325581395</v>
      </c>
      <c r="G5" s="80">
        <f>1*D6/Tabla1[[#This Row],[GALONES]]</f>
        <v>42.662028089163769</v>
      </c>
      <c r="I5" t="s">
        <v>101</v>
      </c>
      <c r="J5">
        <f>SUMIFS(Tabla1[VALOR],Tabla1[MES],"ABRIL")</f>
        <v>610011</v>
      </c>
    </row>
    <row r="6" spans="1:13" x14ac:dyDescent="0.3">
      <c r="A6" s="75">
        <v>44176</v>
      </c>
      <c r="B6" s="74" t="str">
        <f>+TEXT(Tabla1[[#This Row],[FECHA]],"mmmm")</f>
        <v>diciembre</v>
      </c>
      <c r="C6">
        <v>35073</v>
      </c>
      <c r="D6">
        <f>+C7-Tabla1[[#This Row],[KILOMETROS]]</f>
        <v>462</v>
      </c>
      <c r="E6" s="59">
        <v>65391</v>
      </c>
      <c r="F6" s="79">
        <f>+Tabla1[[#This Row],[VALOR]]/$H$2</f>
        <v>7.6036046511627911</v>
      </c>
      <c r="G6" s="80">
        <f>1*D7/Tabla1[[#This Row],[GALONES]]</f>
        <v>59.313972870884371</v>
      </c>
      <c r="I6" t="s">
        <v>98</v>
      </c>
      <c r="J6">
        <f>SUMIFS(Tabla1[VALOR],Tabla1[MES],"MAYO")</f>
        <v>483911</v>
      </c>
    </row>
    <row r="7" spans="1:13" x14ac:dyDescent="0.3">
      <c r="A7" s="75">
        <v>44178</v>
      </c>
      <c r="B7" s="74" t="str">
        <f>+TEXT(Tabla1[[#This Row],[FECHA]],"mmmm")</f>
        <v>diciembre</v>
      </c>
      <c r="C7">
        <v>35535</v>
      </c>
      <c r="D7">
        <f>+C8-Tabla1[[#This Row],[KILOMETROS]]</f>
        <v>451</v>
      </c>
      <c r="E7" s="59">
        <v>107395</v>
      </c>
      <c r="F7" s="79">
        <f>+Tabla1[[#This Row],[VALOR]]/$H$2</f>
        <v>12.487790697674418</v>
      </c>
      <c r="G7" s="80">
        <f>1*D8/Tabla1[[#This Row],[GALONES]]</f>
        <v>27.867219144280462</v>
      </c>
      <c r="I7" t="s">
        <v>97</v>
      </c>
      <c r="J7">
        <f>SUMIFS(Tabla1[VALOR],Tabla1[MES],"JUNIO")</f>
        <v>537436</v>
      </c>
    </row>
    <row r="8" spans="1:13" x14ac:dyDescent="0.3">
      <c r="A8" s="75">
        <v>44182</v>
      </c>
      <c r="B8" s="74" t="str">
        <f>+TEXT(Tabla1[[#This Row],[FECHA]],"mmmm")</f>
        <v>diciembre</v>
      </c>
      <c r="C8">
        <v>35986</v>
      </c>
      <c r="D8">
        <f>+C9-Tabla1[[#This Row],[KILOMETROS]]</f>
        <v>348</v>
      </c>
      <c r="E8" s="59">
        <v>133022</v>
      </c>
      <c r="F8" s="79">
        <f>+Tabla1[[#This Row],[VALOR]]/$H$2</f>
        <v>15.467674418604652</v>
      </c>
      <c r="G8" s="80">
        <f>1*D9/Tabla1[[#This Row],[GALONES]]</f>
        <v>27.799912796379544</v>
      </c>
      <c r="I8" t="s">
        <v>102</v>
      </c>
      <c r="J8">
        <f>SUMIFS(Tabla1[VALOR],Tabla1[MES],"JULIO")</f>
        <v>100000</v>
      </c>
    </row>
    <row r="9" spans="1:13" x14ac:dyDescent="0.3">
      <c r="A9" s="75">
        <v>44185</v>
      </c>
      <c r="B9" s="74" t="str">
        <f>+TEXT(Tabla1[[#This Row],[FECHA]],"mmmm")</f>
        <v>diciembre</v>
      </c>
      <c r="C9">
        <v>36334</v>
      </c>
      <c r="D9">
        <f>+C10-Tabla1[[#This Row],[KILOMETROS]]</f>
        <v>430</v>
      </c>
      <c r="E9" s="59">
        <v>60000</v>
      </c>
      <c r="F9" s="79">
        <f>+Tabla1[[#This Row],[VALOR]]/$H$2</f>
        <v>6.9767441860465116</v>
      </c>
      <c r="G9" s="80">
        <f>1*D10/Tabla1[[#This Row],[GALONES]]</f>
        <v>44.72</v>
      </c>
      <c r="I9" t="s">
        <v>103</v>
      </c>
      <c r="J9">
        <f>SUMIFS(Tabla1[VALOR],Tabla1[MES],"AGOSTO")</f>
        <v>0</v>
      </c>
    </row>
    <row r="10" spans="1:13" x14ac:dyDescent="0.3">
      <c r="A10" s="75">
        <v>44193</v>
      </c>
      <c r="B10" s="74" t="str">
        <f>+TEXT(Tabla1[[#This Row],[FECHA]],"mmmm")</f>
        <v>diciembre</v>
      </c>
      <c r="C10">
        <v>36764</v>
      </c>
      <c r="D10">
        <f>+C11-Tabla1[[#This Row],[KILOMETROS]]</f>
        <v>312</v>
      </c>
      <c r="E10" s="59">
        <v>80000</v>
      </c>
      <c r="F10" s="79">
        <f>+Tabla1[[#This Row],[VALOR]]/$H$2</f>
        <v>9.3023255813953494</v>
      </c>
      <c r="G10" s="80">
        <f>1*D11/Tabla1[[#This Row],[GALONES]]</f>
        <v>37.195</v>
      </c>
      <c r="I10" t="s">
        <v>104</v>
      </c>
      <c r="J10">
        <f>SUMIFS(Tabla1[VALOR],Tabla1[MES],"SEPTIEMBRE")</f>
        <v>0</v>
      </c>
    </row>
    <row r="11" spans="1:13" x14ac:dyDescent="0.3">
      <c r="A11" s="75">
        <v>44198</v>
      </c>
      <c r="B11" s="74" t="str">
        <f>+TEXT(Tabla1[[#This Row],[FECHA]],"mmmm")</f>
        <v>enero</v>
      </c>
      <c r="C11">
        <v>37076</v>
      </c>
      <c r="D11" s="74">
        <f>+C12-Tabla1[[#This Row],[KILOMETROS]]</f>
        <v>346</v>
      </c>
      <c r="E11" s="59">
        <v>100000</v>
      </c>
      <c r="F11" s="79">
        <f>+Tabla1[[#This Row],[VALOR]]/$H$2</f>
        <v>11.627906976744185</v>
      </c>
      <c r="G11" s="80">
        <f>1*D12/Tabla1[[#This Row],[GALONES]]</f>
        <v>40.334000000000003</v>
      </c>
      <c r="I11" t="s">
        <v>105</v>
      </c>
      <c r="J11">
        <f>SUMIFS(Tabla1[VALOR],Tabla1[MES],"OCTUBRE")</f>
        <v>0</v>
      </c>
    </row>
    <row r="12" spans="1:13" x14ac:dyDescent="0.3">
      <c r="A12" s="75">
        <v>44202</v>
      </c>
      <c r="B12" s="74" t="str">
        <f>+TEXT(Tabla1[[#This Row],[FECHA]],"mmmm")</f>
        <v>enero</v>
      </c>
      <c r="C12">
        <v>37422</v>
      </c>
      <c r="D12" s="74">
        <f>+C13-Tabla1[[#This Row],[KILOMETROS]]</f>
        <v>469</v>
      </c>
      <c r="E12" s="59">
        <v>120000</v>
      </c>
      <c r="F12" s="79">
        <f>+Tabla1[[#This Row],[VALOR]]/$H$2</f>
        <v>13.953488372093023</v>
      </c>
      <c r="G12" s="80">
        <f>1*D13/Tabla1[[#This Row],[GALONES]]</f>
        <v>10.821666666666667</v>
      </c>
      <c r="I12" t="s">
        <v>106</v>
      </c>
      <c r="J12">
        <f>SUMIFS(Tabla1[VALOR],Tabla1[MES],"NOVIEMBRE")</f>
        <v>0</v>
      </c>
    </row>
    <row r="13" spans="1:13" x14ac:dyDescent="0.3">
      <c r="A13" s="75">
        <v>44214</v>
      </c>
      <c r="B13" s="74" t="str">
        <f>+TEXT(Tabla1[[#This Row],[FECHA]],"mmmm")</f>
        <v>enero</v>
      </c>
      <c r="C13">
        <v>37891</v>
      </c>
      <c r="D13" s="74">
        <f>+C14-Tabla1[[#This Row],[KILOMETROS]]</f>
        <v>151</v>
      </c>
      <c r="E13" s="59">
        <v>50000</v>
      </c>
      <c r="F13" s="79">
        <f>+Tabla1[[#This Row],[VALOR]]/$H$2</f>
        <v>5.8139534883720927</v>
      </c>
      <c r="G13" s="80">
        <f>1*D14/Tabla1[[#This Row],[GALONES]]</f>
        <v>113.864</v>
      </c>
      <c r="I13" t="s">
        <v>107</v>
      </c>
      <c r="J13">
        <f>SUMIFS(Tabla1[VALOR],Tabla1[MES],"DICIEMBRE")</f>
        <v>738224</v>
      </c>
    </row>
    <row r="14" spans="1:13" x14ac:dyDescent="0.3">
      <c r="A14" s="75">
        <v>44217</v>
      </c>
      <c r="B14" s="74" t="str">
        <f>+TEXT(Tabla1[[#This Row],[FECHA]],"mmmm")</f>
        <v>enero</v>
      </c>
      <c r="C14">
        <v>38042</v>
      </c>
      <c r="D14" s="74">
        <f>+C15-Tabla1[[#This Row],[KILOMETROS]]</f>
        <v>662</v>
      </c>
      <c r="E14" s="59">
        <v>120000</v>
      </c>
      <c r="F14" s="79">
        <f>+Tabla1[[#This Row],[VALOR]]/$H$2</f>
        <v>13.953488372093023</v>
      </c>
      <c r="G14" s="80">
        <f>1*D15/Tabla1[[#This Row],[GALONES]]</f>
        <v>31.605</v>
      </c>
    </row>
    <row r="15" spans="1:13" x14ac:dyDescent="0.3">
      <c r="A15" s="75">
        <v>44221</v>
      </c>
      <c r="B15" s="74" t="str">
        <f>+TEXT(Tabla1[[#This Row],[FECHA]],"mmmm")</f>
        <v>enero</v>
      </c>
      <c r="C15">
        <v>38704</v>
      </c>
      <c r="D15" s="74">
        <f>+C16-Tabla1[[#This Row],[KILOMETROS]]</f>
        <v>441</v>
      </c>
      <c r="E15" s="81">
        <v>140000</v>
      </c>
      <c r="F15" s="82">
        <f>+Tabla1[[#This Row],[VALOR]]/$H$2</f>
        <v>16.279069767441861</v>
      </c>
      <c r="G15" s="80">
        <f>1*D16/Tabla1[[#This Row],[GALONES]]</f>
        <v>35.444285714285712</v>
      </c>
    </row>
    <row r="16" spans="1:13" x14ac:dyDescent="0.3">
      <c r="A16" s="75">
        <v>44227</v>
      </c>
      <c r="B16" s="74" t="str">
        <f>+TEXT(Tabla1[[#This Row],[FECHA]],"mmmm")</f>
        <v>enero</v>
      </c>
      <c r="C16">
        <v>39145</v>
      </c>
      <c r="D16" s="74">
        <f>+C17-Tabla1[[#This Row],[KILOMETROS]]</f>
        <v>577</v>
      </c>
      <c r="E16" s="81">
        <v>138000</v>
      </c>
      <c r="F16" s="82">
        <f>+Tabla1[[#This Row],[VALOR]]/$H$2</f>
        <v>16.046511627906977</v>
      </c>
      <c r="G16" s="80">
        <f>1*D17/Tabla1[[#This Row],[GALONES]]</f>
        <v>10.905797101449275</v>
      </c>
    </row>
    <row r="17" spans="1:7" x14ac:dyDescent="0.3">
      <c r="A17" s="75">
        <v>44231</v>
      </c>
      <c r="B17" s="74" t="str">
        <f>+TEXT(Tabla1[[#This Row],[FECHA]],"mmmm")</f>
        <v>febrero</v>
      </c>
      <c r="C17">
        <v>39722</v>
      </c>
      <c r="D17" s="74">
        <f>+C18-Tabla1[[#This Row],[KILOMETROS]]</f>
        <v>175</v>
      </c>
      <c r="E17" s="81">
        <v>140000</v>
      </c>
      <c r="F17" s="82">
        <f>+Tabla1[[#This Row],[VALOR]]/$H$2</f>
        <v>16.279069767441861</v>
      </c>
      <c r="G17" s="80">
        <f>1*D18/Tabla1[[#This Row],[GALONES]]</f>
        <v>32.495714285714286</v>
      </c>
    </row>
    <row r="18" spans="1:7" x14ac:dyDescent="0.3">
      <c r="A18" s="75">
        <v>44234</v>
      </c>
      <c r="B18" s="74" t="str">
        <f>+TEXT(Tabla1[[#This Row],[FECHA]],"mmmm")</f>
        <v>febrero</v>
      </c>
      <c r="C18">
        <v>39897</v>
      </c>
      <c r="D18" s="74">
        <f>+C19-Tabla1[[#This Row],[KILOMETROS]]</f>
        <v>529</v>
      </c>
      <c r="E18" s="81">
        <v>62804</v>
      </c>
      <c r="F18" s="82">
        <f>+Tabla1[[#This Row],[VALOR]]/$H$2</f>
        <v>7.3027906976744186</v>
      </c>
      <c r="G18" s="80">
        <f>1*D19/Tabla1[[#This Row],[GALONES]]</f>
        <v>56.279854786319341</v>
      </c>
    </row>
    <row r="19" spans="1:7" x14ac:dyDescent="0.3">
      <c r="A19" s="75">
        <v>44235</v>
      </c>
      <c r="B19" s="74" t="str">
        <f>+TEXT(Tabla1[[#This Row],[FECHA]],"mmmm")</f>
        <v>febrero</v>
      </c>
      <c r="C19">
        <v>40426</v>
      </c>
      <c r="D19" s="74">
        <f>+C20-Tabla1[[#This Row],[KILOMETROS]]</f>
        <v>411</v>
      </c>
      <c r="E19" s="81">
        <v>146002</v>
      </c>
      <c r="F19" s="82">
        <f>+Tabla1[[#This Row],[VALOR]]/$H$2</f>
        <v>16.976976744186047</v>
      </c>
      <c r="G19" s="80">
        <f>1*D20/Tabla1[[#This Row],[GALONES]]</f>
        <v>31.807783455021163</v>
      </c>
    </row>
    <row r="20" spans="1:7" x14ac:dyDescent="0.3">
      <c r="A20" s="75">
        <v>44237</v>
      </c>
      <c r="B20" s="74" t="str">
        <f>+TEXT(Tabla1[[#This Row],[FECHA]],"mmmm")</f>
        <v>febrero</v>
      </c>
      <c r="C20">
        <v>40837</v>
      </c>
      <c r="D20" s="74">
        <f>+C21-Tabla1[[#This Row],[KILOMETROS]]</f>
        <v>540</v>
      </c>
      <c r="E20" s="81">
        <v>126002</v>
      </c>
      <c r="F20" s="82">
        <f>+Tabla1[[#This Row],[VALOR]]/$H$2</f>
        <v>14.651395348837209</v>
      </c>
      <c r="G20" s="80">
        <f>1*D21/Tabla1[[#This Row],[GALONES]]</f>
        <v>27.710671259186363</v>
      </c>
    </row>
    <row r="21" spans="1:7" x14ac:dyDescent="0.3">
      <c r="A21" s="75">
        <v>44238</v>
      </c>
      <c r="B21" s="74" t="str">
        <f>+TEXT(Tabla1[[#This Row],[FECHA]],"mmmm")</f>
        <v>febrero</v>
      </c>
      <c r="C21">
        <v>41377</v>
      </c>
      <c r="D21" s="74">
        <f>+C22-Tabla1[[#This Row],[KILOMETROS]]</f>
        <v>406</v>
      </c>
      <c r="E21" s="81">
        <v>100000</v>
      </c>
      <c r="F21" s="82">
        <f>+Tabla1[[#This Row],[VALOR]]/$H$2</f>
        <v>11.627906976744185</v>
      </c>
      <c r="G21" s="80">
        <f>1*D22/Tabla1[[#This Row],[GALONES]]</f>
        <v>28.724</v>
      </c>
    </row>
    <row r="22" spans="1:7" x14ac:dyDescent="0.3">
      <c r="A22" s="75">
        <v>44241</v>
      </c>
      <c r="B22" s="74" t="str">
        <f>+TEXT(Tabla1[[#This Row],[FECHA]],"mmmm")</f>
        <v>febrero</v>
      </c>
      <c r="C22">
        <v>41783</v>
      </c>
      <c r="D22" s="74">
        <f>+C23-Tabla1[[#This Row],[KILOMETROS]]</f>
        <v>334</v>
      </c>
      <c r="E22" s="81">
        <v>140000</v>
      </c>
      <c r="F22" s="82">
        <f>+Tabla1[[#This Row],[VALOR]]/$H$2</f>
        <v>16.279069767441861</v>
      </c>
      <c r="G22" s="80">
        <f>1*D23/Tabla1[[#This Row],[GALONES]]</f>
        <v>30.65285714285714</v>
      </c>
    </row>
    <row r="23" spans="1:7" x14ac:dyDescent="0.3">
      <c r="A23" s="75">
        <v>44249</v>
      </c>
      <c r="B23" s="74" t="str">
        <f>+TEXT(Tabla1[[#This Row],[FECHA]],"mmmm")</f>
        <v>febrero</v>
      </c>
      <c r="C23">
        <v>42117</v>
      </c>
      <c r="D23" s="74">
        <f>+C24-Tabla1[[#This Row],[KILOMETROS]]</f>
        <v>499</v>
      </c>
      <c r="E23" s="81">
        <v>120202</v>
      </c>
      <c r="F23" s="82">
        <f>+Tabla1[[#This Row],[VALOR]]/$H$2</f>
        <v>13.976976744186047</v>
      </c>
      <c r="G23" s="80">
        <f>1*D24/Tabla1[[#This Row],[GALONES]]</f>
        <v>30.621786659123806</v>
      </c>
    </row>
    <row r="24" spans="1:7" x14ac:dyDescent="0.3">
      <c r="A24" s="75">
        <v>44258</v>
      </c>
      <c r="B24" s="74" t="str">
        <f>+TEXT(Tabla1[[#This Row],[FECHA]],"mmmm")</f>
        <v>marzo</v>
      </c>
      <c r="C24">
        <v>42616</v>
      </c>
      <c r="D24" s="74">
        <f>+C25-Tabla1[[#This Row],[KILOMETROS]]</f>
        <v>428</v>
      </c>
      <c r="E24" s="90">
        <v>148054</v>
      </c>
      <c r="F24" s="91">
        <f>+Tabla1[[#This Row],[VALOR]]/$H$2</f>
        <v>17.215581395348838</v>
      </c>
      <c r="G24" s="80">
        <f>1*D25/Tabla1[[#This Row],[GALONES]]</f>
        <v>46.004836073324597</v>
      </c>
    </row>
    <row r="25" spans="1:7" x14ac:dyDescent="0.3">
      <c r="A25" s="75">
        <v>44260</v>
      </c>
      <c r="B25" s="74" t="str">
        <f>+TEXT(Tabla1[[#This Row],[FECHA]],"mmmm")</f>
        <v>marzo</v>
      </c>
      <c r="C25">
        <v>43044</v>
      </c>
      <c r="D25" s="74">
        <f>+C26-Tabla1[[#This Row],[KILOMETROS]]</f>
        <v>792</v>
      </c>
      <c r="E25" s="90">
        <v>114050</v>
      </c>
      <c r="F25" s="91">
        <f>+Tabla1[[#This Row],[VALOR]]/$H$2</f>
        <v>13.261627906976743</v>
      </c>
      <c r="G25" s="80">
        <f>1*D26/Tabla1[[#This Row],[GALONES]]</f>
        <v>28.201665935992988</v>
      </c>
    </row>
    <row r="26" spans="1:7" x14ac:dyDescent="0.3">
      <c r="A26" s="93">
        <v>44270</v>
      </c>
      <c r="B26" s="94" t="str">
        <f>+TEXT(Tabla1[[#This Row],[FECHA]],"mmmm")</f>
        <v>marzo</v>
      </c>
      <c r="C26" s="95">
        <v>43836</v>
      </c>
      <c r="D26" s="94">
        <f>+C27-Tabla1[[#This Row],[KILOMETROS]]</f>
        <v>374</v>
      </c>
      <c r="E26" s="96">
        <v>140022</v>
      </c>
      <c r="F26" s="97">
        <f>+Tabla1[[#This Row],[VALOR]]/$H$2</f>
        <v>16.281627906976745</v>
      </c>
      <c r="G26" s="80">
        <f>1*D27/Tabla1[[#This Row],[GALONES]]</f>
        <v>26.164459870591763</v>
      </c>
    </row>
    <row r="27" spans="1:7" x14ac:dyDescent="0.3">
      <c r="A27" s="93">
        <v>44274</v>
      </c>
      <c r="B27" s="94" t="str">
        <f>+TEXT(Tabla1[[#This Row],[FECHA]],"mmmm")</f>
        <v>marzo</v>
      </c>
      <c r="C27" s="95">
        <v>44210</v>
      </c>
      <c r="D27" s="94">
        <f>+C28-Tabla1[[#This Row],[KILOMETROS]]</f>
        <v>426</v>
      </c>
      <c r="E27" s="96">
        <v>100000</v>
      </c>
      <c r="F27" s="97">
        <f>+Tabla1[[#This Row],[VALOR]]/$H$2</f>
        <v>11.627906976744185</v>
      </c>
      <c r="G27" s="80">
        <f>1*D28/Tabla1[[#This Row],[GALONES]]</f>
        <v>17.544</v>
      </c>
    </row>
    <row r="28" spans="1:7" x14ac:dyDescent="0.3">
      <c r="A28" s="93">
        <v>44282</v>
      </c>
      <c r="B28" s="94" t="str">
        <f>+TEXT(Tabla1[[#This Row],[FECHA]],"mmmm")</f>
        <v>marzo</v>
      </c>
      <c r="C28" s="95">
        <v>44636</v>
      </c>
      <c r="D28" s="94">
        <f>+C29-Tabla1[[#This Row],[KILOMETROS]]</f>
        <v>204</v>
      </c>
      <c r="E28" s="96">
        <v>80000</v>
      </c>
      <c r="F28" s="97">
        <f>+Tabla1[[#This Row],[VALOR]]/$H$2</f>
        <v>9.3023255813953494</v>
      </c>
      <c r="G28" s="80">
        <f>1*D29/Tabla1[[#This Row],[GALONES]]</f>
        <v>48.267499999999998</v>
      </c>
    </row>
    <row r="29" spans="1:7" x14ac:dyDescent="0.3">
      <c r="A29" s="93">
        <v>44290</v>
      </c>
      <c r="B29" s="94" t="str">
        <f>+TEXT(Tabla1[[#This Row],[FECHA]],"mmmm")</f>
        <v>abril</v>
      </c>
      <c r="C29" s="95">
        <v>44840</v>
      </c>
      <c r="D29" s="94">
        <f>+C30-Tabla1[[#This Row],[KILOMETROS]]</f>
        <v>449</v>
      </c>
      <c r="E29" s="96">
        <v>146957</v>
      </c>
      <c r="F29" s="97">
        <f>+Tabla1[[#This Row],[VALOR]]/$H$2</f>
        <v>17.088023255813955</v>
      </c>
      <c r="G29" s="98">
        <f>1*D30/Tabla1[[#This Row],[GALONES]]</f>
        <v>27.7972468136938</v>
      </c>
    </row>
    <row r="30" spans="1:7" x14ac:dyDescent="0.3">
      <c r="A30" s="93">
        <v>44299</v>
      </c>
      <c r="B30" s="94" t="str">
        <f>+TEXT(Tabla1[[#This Row],[FECHA]],"mmmm")</f>
        <v>abril</v>
      </c>
      <c r="C30" s="95">
        <v>45289</v>
      </c>
      <c r="D30" s="94">
        <f>+C31-Tabla1[[#This Row],[KILOMETROS]]</f>
        <v>475</v>
      </c>
      <c r="E30" s="96">
        <v>140000</v>
      </c>
      <c r="F30" s="97">
        <f>+Tabla1[[#This Row],[VALOR]]/$H$2</f>
        <v>16.279069767441861</v>
      </c>
      <c r="G30" s="98">
        <f>1*D31/Tabla1[[#This Row],[GALONES]]</f>
        <v>31.144285714285715</v>
      </c>
    </row>
    <row r="31" spans="1:7" x14ac:dyDescent="0.3">
      <c r="A31" s="93">
        <v>44307</v>
      </c>
      <c r="B31" s="94" t="str">
        <f>+TEXT(Tabla1[[#This Row],[FECHA]],"mmmm")</f>
        <v>abril</v>
      </c>
      <c r="C31" s="95">
        <v>45764</v>
      </c>
      <c r="D31" s="94">
        <f>+C32-Tabla1[[#This Row],[KILOMETROS]]</f>
        <v>507</v>
      </c>
      <c r="E31" s="96">
        <v>169996</v>
      </c>
      <c r="F31" s="97">
        <f>+Tabla1[[#This Row],[VALOR]]/$H$2</f>
        <v>19.766976744186046</v>
      </c>
      <c r="G31" s="98">
        <f>1*D32/Tabla1[[#This Row],[GALONES]]</f>
        <v>26.306501329443048</v>
      </c>
    </row>
    <row r="32" spans="1:7" x14ac:dyDescent="0.3">
      <c r="A32" s="93">
        <v>44316</v>
      </c>
      <c r="B32" s="94" t="str">
        <f>+TEXT(Tabla1[[#This Row],[FECHA]],"mmmm")</f>
        <v>abril</v>
      </c>
      <c r="C32" s="95">
        <v>46271</v>
      </c>
      <c r="D32" s="94">
        <f>+C33-Tabla1[[#This Row],[KILOMETROS]]</f>
        <v>520</v>
      </c>
      <c r="E32" s="96">
        <v>153058</v>
      </c>
      <c r="F32" s="97">
        <f>+Tabla1[[#This Row],[VALOR]]/$H$2</f>
        <v>17.797441860465117</v>
      </c>
      <c r="G32" s="98">
        <f>1*D33/Tabla1[[#This Row],[GALONES]]</f>
        <v>22.980830796168771</v>
      </c>
    </row>
    <row r="33" spans="1:7" x14ac:dyDescent="0.3">
      <c r="A33" s="93">
        <v>44323</v>
      </c>
      <c r="B33" s="94" t="str">
        <f>+TEXT(Tabla1[[#This Row],[FECHA]],"mmmm")</f>
        <v>mayo</v>
      </c>
      <c r="C33" s="95">
        <v>46791</v>
      </c>
      <c r="D33" s="94">
        <f>+C34-Tabla1[[#This Row],[KILOMETROS]]</f>
        <v>409</v>
      </c>
      <c r="E33" s="96">
        <v>142645</v>
      </c>
      <c r="F33" s="97">
        <f>+Tabla1[[#This Row],[VALOR]]/$H$2</f>
        <v>16.586627906976744</v>
      </c>
      <c r="G33" s="98">
        <f>1*D34/Tabla1[[#This Row],[GALONES]]</f>
        <v>30.80794980546111</v>
      </c>
    </row>
    <row r="34" spans="1:7" x14ac:dyDescent="0.3">
      <c r="A34" s="93">
        <v>44330</v>
      </c>
      <c r="B34" s="94" t="str">
        <f>+TEXT(Tabla1[[#This Row],[FECHA]],"mmmm")</f>
        <v>mayo</v>
      </c>
      <c r="C34" s="95">
        <v>47200</v>
      </c>
      <c r="D34" s="94">
        <f>+C35-Tabla1[[#This Row],[KILOMETROS]]</f>
        <v>511</v>
      </c>
      <c r="E34" s="96">
        <v>119992</v>
      </c>
      <c r="F34" s="97">
        <f>+Tabla1[[#This Row],[VALOR]]/$H$2</f>
        <v>13.952558139534883</v>
      </c>
      <c r="G34" s="98">
        <f>1*D35/Tabla1[[#This Row],[GALONES]]</f>
        <v>51.603440229348628</v>
      </c>
    </row>
    <row r="35" spans="1:7" x14ac:dyDescent="0.3">
      <c r="A35" s="93">
        <v>44336</v>
      </c>
      <c r="B35" s="94" t="str">
        <f>+TEXT(Tabla1[[#This Row],[FECHA]],"mmmm")</f>
        <v>mayo</v>
      </c>
      <c r="C35" s="95">
        <v>47711</v>
      </c>
      <c r="D35" s="94">
        <f>+C36-Tabla1[[#This Row],[KILOMETROS]]</f>
        <v>720</v>
      </c>
      <c r="E35" s="96">
        <v>150007</v>
      </c>
      <c r="F35" s="97">
        <f>+Tabla1[[#This Row],[VALOR]]/$H$2</f>
        <v>17.44267441860465</v>
      </c>
      <c r="G35" s="98">
        <f>1*D36/Tabla1[[#This Row],[GALONES]]</f>
        <v>26.658755924723515</v>
      </c>
    </row>
    <row r="36" spans="1:7" x14ac:dyDescent="0.3">
      <c r="A36" s="93">
        <v>44347</v>
      </c>
      <c r="B36" s="94" t="str">
        <f>+TEXT(Tabla1[[#This Row],[FECHA]],"mmmm")</f>
        <v>mayo</v>
      </c>
      <c r="C36" s="95">
        <v>48431</v>
      </c>
      <c r="D36" s="94">
        <f>+C37-Tabla1[[#This Row],[KILOMETROS]]</f>
        <v>465</v>
      </c>
      <c r="E36" s="96">
        <v>71267</v>
      </c>
      <c r="F36" s="97">
        <f>+Tabla1[[#This Row],[VALOR]]/$H$2</f>
        <v>8.2868604651162787</v>
      </c>
      <c r="G36" s="98">
        <f>1*D37/Tabla1[[#This Row],[GALONES]]</f>
        <v>58.043694837722931</v>
      </c>
    </row>
    <row r="37" spans="1:7" x14ac:dyDescent="0.3">
      <c r="A37" s="75">
        <v>44355</v>
      </c>
      <c r="B37" s="74" t="str">
        <f>+TEXT(Tabla1[[#This Row],[FECHA]],"mmmm")</f>
        <v>junio</v>
      </c>
      <c r="C37">
        <v>48896</v>
      </c>
      <c r="D37" s="74">
        <f>+C38-Tabla1[[#This Row],[KILOMETROS]]</f>
        <v>481</v>
      </c>
      <c r="E37" s="90">
        <v>139989</v>
      </c>
      <c r="F37" s="91">
        <f>+Tabla1[[#This Row],[VALOR]]/$H$2</f>
        <v>16.277790697674419</v>
      </c>
      <c r="G37" s="80">
        <f>1*D38/Tabla1[[#This Row],[GALONES]]</f>
        <v>23.098957775253769</v>
      </c>
    </row>
    <row r="38" spans="1:7" x14ac:dyDescent="0.3">
      <c r="A38" s="117">
        <v>44362</v>
      </c>
      <c r="B38" s="74" t="str">
        <f>+TEXT(Tabla1[[#This Row],[FECHA]],"mmmm")</f>
        <v>junio</v>
      </c>
      <c r="C38">
        <v>49377</v>
      </c>
      <c r="D38" s="74">
        <f>+C39-Tabla1[[#This Row],[KILOMETROS]]</f>
        <v>376</v>
      </c>
      <c r="E38" s="90">
        <v>149943</v>
      </c>
      <c r="F38" s="91">
        <f>+Tabla1[[#This Row],[VALOR]]/$H$2</f>
        <v>17.435232558139536</v>
      </c>
      <c r="G38" s="80">
        <f>1*D39/Tabla1[[#This Row],[GALONES]]</f>
        <v>12.331352580647312</v>
      </c>
    </row>
    <row r="39" spans="1:7" x14ac:dyDescent="0.3">
      <c r="A39" s="117">
        <v>44370</v>
      </c>
      <c r="B39" s="74" t="str">
        <f>+TEXT(Tabla1[[#This Row],[FECHA]],"mmmm")</f>
        <v>junio</v>
      </c>
      <c r="C39">
        <v>49753</v>
      </c>
      <c r="D39" s="74">
        <f>+C40-Tabla1[[#This Row],[KILOMETROS]]</f>
        <v>215</v>
      </c>
      <c r="E39" s="90">
        <v>50000</v>
      </c>
      <c r="F39" s="91">
        <f>+Tabla1[[#This Row],[VALOR]]/$H$2</f>
        <v>5.8139534883720927</v>
      </c>
      <c r="G39" s="80">
        <f>1*D40/Tabla1[[#This Row],[GALONES]]</f>
        <v>62.608000000000004</v>
      </c>
    </row>
    <row r="40" spans="1:7" x14ac:dyDescent="0.3">
      <c r="A40" s="117">
        <v>44372</v>
      </c>
      <c r="B40" s="74" t="str">
        <f>+TEXT(Tabla1[[#This Row],[FECHA]],"mmmm")</f>
        <v>junio</v>
      </c>
      <c r="C40">
        <v>49968</v>
      </c>
      <c r="D40" s="74">
        <f>+C41-Tabla1[[#This Row],[KILOMETROS]]</f>
        <v>364</v>
      </c>
      <c r="E40" s="90">
        <v>50000</v>
      </c>
      <c r="F40" s="91">
        <f>+Tabla1[[#This Row],[VALOR]]/$H$2</f>
        <v>5.8139534883720927</v>
      </c>
      <c r="G40" s="80">
        <f>1*D41/Tabla1[[#This Row],[GALONES]]</f>
        <v>62.78</v>
      </c>
    </row>
    <row r="41" spans="1:7" x14ac:dyDescent="0.3">
      <c r="A41" s="117">
        <v>44375</v>
      </c>
      <c r="B41" s="74" t="str">
        <f>+TEXT(Tabla1[[#This Row],[FECHA]],"mmmm")</f>
        <v>junio</v>
      </c>
      <c r="C41">
        <v>50332</v>
      </c>
      <c r="D41" s="74">
        <f>+C42-Tabla1[[#This Row],[KILOMETROS]]</f>
        <v>365</v>
      </c>
      <c r="E41" s="90">
        <v>147504</v>
      </c>
      <c r="F41" s="91">
        <f>+Tabla1[[#This Row],[VALOR]]/$H$2</f>
        <v>17.151627906976746</v>
      </c>
      <c r="G41" s="80">
        <f>1*D42/Tabla1[[#This Row],[GALONES]]</f>
        <v>-2955.8127237227463</v>
      </c>
    </row>
    <row r="42" spans="1:7" x14ac:dyDescent="0.3">
      <c r="A42" s="117">
        <v>44382</v>
      </c>
      <c r="B42" s="74" t="str">
        <f>+TEXT(Tabla1[[#This Row],[FECHA]],"mmmm")</f>
        <v>julio</v>
      </c>
      <c r="C42">
        <v>50697</v>
      </c>
      <c r="D42" s="74">
        <f>+C43-Tabla1[[#This Row],[KILOMETROS]]</f>
        <v>-50697</v>
      </c>
      <c r="E42" s="90">
        <v>100000</v>
      </c>
      <c r="F42" s="91">
        <f>+Tabla1[[#This Row],[VALOR]]/$H$2</f>
        <v>11.627906976744185</v>
      </c>
      <c r="G42" s="80">
        <f>1*D43/Tabla1[[#This Row],[GALONES]]</f>
        <v>0</v>
      </c>
    </row>
  </sheetData>
  <sortState xmlns:xlrd2="http://schemas.microsoft.com/office/spreadsheetml/2017/richdata2" ref="A3:D38">
    <sortCondition ref="A3"/>
  </sortState>
  <mergeCells count="1">
    <mergeCell ref="A1:G1"/>
  </mergeCells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topLeftCell="A14" workbookViewId="0">
      <selection activeCell="H12" sqref="H12"/>
    </sheetView>
  </sheetViews>
  <sheetFormatPr baseColWidth="10" defaultRowHeight="14.4" x14ac:dyDescent="0.3"/>
  <cols>
    <col min="2" max="2" width="22" customWidth="1"/>
    <col min="3" max="3" width="11.5546875" bestFit="1" customWidth="1"/>
    <col min="4" max="5" width="10" bestFit="1" customWidth="1"/>
    <col min="7" max="7" width="12.5546875" customWidth="1"/>
    <col min="8" max="8" width="10.5546875" customWidth="1"/>
  </cols>
  <sheetData>
    <row r="1" spans="1:12" x14ac:dyDescent="0.3">
      <c r="A1" s="140" t="s">
        <v>0</v>
      </c>
      <c r="B1" s="140"/>
      <c r="C1" s="140"/>
      <c r="D1" s="140"/>
      <c r="E1" s="140"/>
      <c r="F1" s="140"/>
      <c r="G1" s="140"/>
      <c r="H1" s="140"/>
    </row>
    <row r="2" spans="1:12" ht="15" thickBot="1" x14ac:dyDescent="0.35">
      <c r="A2" s="107" t="s">
        <v>1</v>
      </c>
      <c r="B2" s="108" t="s">
        <v>2</v>
      </c>
      <c r="C2" s="108" t="s">
        <v>3</v>
      </c>
      <c r="D2" s="109" t="s">
        <v>4</v>
      </c>
      <c r="E2" s="110" t="s">
        <v>7</v>
      </c>
      <c r="F2" s="107" t="s">
        <v>95</v>
      </c>
      <c r="G2" s="108" t="s">
        <v>5</v>
      </c>
      <c r="H2" s="108" t="s">
        <v>6</v>
      </c>
      <c r="K2" s="17"/>
    </row>
    <row r="3" spans="1:12" x14ac:dyDescent="0.3">
      <c r="A3" s="7"/>
      <c r="B3" s="8"/>
      <c r="C3" s="51">
        <v>100000</v>
      </c>
      <c r="D3" s="52">
        <f>31*2700</f>
        <v>83700</v>
      </c>
      <c r="E3" s="53">
        <f>+C3-D3</f>
        <v>16300</v>
      </c>
      <c r="F3" s="9">
        <v>44075</v>
      </c>
      <c r="G3" s="8">
        <v>24301</v>
      </c>
      <c r="H3" s="8">
        <f>+G4-G3</f>
        <v>147</v>
      </c>
      <c r="L3" s="18"/>
    </row>
    <row r="4" spans="1:12" x14ac:dyDescent="0.3">
      <c r="A4" s="2"/>
      <c r="B4" s="1"/>
      <c r="C4" s="54">
        <v>50000</v>
      </c>
      <c r="D4" s="55">
        <v>26723</v>
      </c>
      <c r="E4" s="56">
        <f>+E3+C4-D4</f>
        <v>39577</v>
      </c>
      <c r="F4" s="5">
        <v>44076</v>
      </c>
      <c r="G4" s="1">
        <v>24448</v>
      </c>
      <c r="H4" s="8">
        <f t="shared" ref="H4:H31" si="0">+G5-G4</f>
        <v>47</v>
      </c>
      <c r="L4" s="18"/>
    </row>
    <row r="5" spans="1:12" x14ac:dyDescent="0.3">
      <c r="A5" s="2"/>
      <c r="B5" s="1"/>
      <c r="C5" s="54">
        <v>150000</v>
      </c>
      <c r="D5" s="55">
        <v>143090</v>
      </c>
      <c r="E5" s="56">
        <f t="shared" ref="E5:E34" si="1">+E4+C5-D5</f>
        <v>46487</v>
      </c>
      <c r="F5" s="5">
        <v>44077</v>
      </c>
      <c r="G5" s="1">
        <v>24495</v>
      </c>
      <c r="H5" s="8">
        <f t="shared" si="0"/>
        <v>173</v>
      </c>
    </row>
    <row r="6" spans="1:12" x14ac:dyDescent="0.3">
      <c r="A6" s="2"/>
      <c r="B6" s="1"/>
      <c r="C6" s="54">
        <v>180000</v>
      </c>
      <c r="D6" s="55">
        <v>6000</v>
      </c>
      <c r="E6" s="56">
        <f t="shared" si="1"/>
        <v>220487</v>
      </c>
      <c r="F6" s="5">
        <v>44078</v>
      </c>
      <c r="G6" s="1">
        <v>24668</v>
      </c>
      <c r="H6" s="8">
        <f t="shared" si="0"/>
        <v>132</v>
      </c>
    </row>
    <row r="7" spans="1:12" x14ac:dyDescent="0.3">
      <c r="A7" s="2"/>
      <c r="B7" s="1"/>
      <c r="C7" s="54">
        <v>170000</v>
      </c>
      <c r="D7" s="55">
        <v>100000</v>
      </c>
      <c r="E7" s="56">
        <f t="shared" si="1"/>
        <v>290487</v>
      </c>
      <c r="F7" s="5">
        <v>44079</v>
      </c>
      <c r="G7" s="1">
        <v>24800</v>
      </c>
      <c r="H7" s="8">
        <f t="shared" si="0"/>
        <v>0</v>
      </c>
    </row>
    <row r="8" spans="1:12" x14ac:dyDescent="0.3">
      <c r="A8" s="2"/>
      <c r="B8" s="1"/>
      <c r="C8" s="54"/>
      <c r="D8" s="60">
        <v>135998</v>
      </c>
      <c r="E8" s="56">
        <f t="shared" si="1"/>
        <v>154489</v>
      </c>
      <c r="F8" s="5">
        <v>44080</v>
      </c>
      <c r="G8" s="16">
        <v>24800</v>
      </c>
      <c r="H8" s="8">
        <f t="shared" si="0"/>
        <v>86</v>
      </c>
    </row>
    <row r="9" spans="1:12" x14ac:dyDescent="0.3">
      <c r="A9" s="2"/>
      <c r="B9" s="1"/>
      <c r="C9" s="54">
        <f>420000-140000</f>
        <v>280000</v>
      </c>
      <c r="D9" s="60">
        <f>3200+3600</f>
        <v>6800</v>
      </c>
      <c r="E9" s="56">
        <f t="shared" si="1"/>
        <v>427689</v>
      </c>
      <c r="F9" s="5">
        <v>44081</v>
      </c>
      <c r="G9" s="1">
        <v>24886</v>
      </c>
      <c r="H9" s="8">
        <f t="shared" si="0"/>
        <v>141</v>
      </c>
    </row>
    <row r="10" spans="1:12" x14ac:dyDescent="0.3">
      <c r="A10" s="2"/>
      <c r="B10" s="1"/>
      <c r="C10" s="54">
        <v>100000</v>
      </c>
      <c r="D10" s="60">
        <f>11100*4</f>
        <v>44400</v>
      </c>
      <c r="E10" s="56">
        <f t="shared" si="1"/>
        <v>483289</v>
      </c>
      <c r="F10" s="5">
        <v>44082</v>
      </c>
      <c r="G10" s="1">
        <v>25027</v>
      </c>
      <c r="H10" s="8">
        <f t="shared" si="0"/>
        <v>159</v>
      </c>
    </row>
    <row r="11" spans="1:12" x14ac:dyDescent="0.3">
      <c r="A11" s="2"/>
      <c r="B11" s="1"/>
      <c r="C11" s="54"/>
      <c r="D11" s="60">
        <f>2700+2700+2700+2700</f>
        <v>10800</v>
      </c>
      <c r="E11" s="56">
        <f t="shared" si="1"/>
        <v>472489</v>
      </c>
      <c r="F11" s="5">
        <v>44083</v>
      </c>
      <c r="G11" s="1">
        <v>25186</v>
      </c>
      <c r="H11" s="8">
        <f t="shared" si="0"/>
        <v>156</v>
      </c>
    </row>
    <row r="12" spans="1:12" x14ac:dyDescent="0.3">
      <c r="A12" s="2"/>
      <c r="B12" s="1"/>
      <c r="C12" s="54"/>
      <c r="D12" s="60">
        <f>2700+2700</f>
        <v>5400</v>
      </c>
      <c r="E12" s="56">
        <f t="shared" si="1"/>
        <v>467089</v>
      </c>
      <c r="F12" s="5">
        <v>44084</v>
      </c>
      <c r="G12" s="1">
        <v>25342</v>
      </c>
      <c r="H12" s="8">
        <f t="shared" si="0"/>
        <v>138</v>
      </c>
    </row>
    <row r="13" spans="1:12" x14ac:dyDescent="0.3">
      <c r="A13" s="2"/>
      <c r="B13" s="1"/>
      <c r="C13" s="54"/>
      <c r="D13" s="60">
        <f>3300+8600+8600</f>
        <v>20500</v>
      </c>
      <c r="E13" s="56">
        <f t="shared" si="1"/>
        <v>446589</v>
      </c>
      <c r="F13" s="5">
        <v>44085</v>
      </c>
      <c r="G13" s="1">
        <v>25480</v>
      </c>
      <c r="H13" s="8">
        <f t="shared" si="0"/>
        <v>138</v>
      </c>
    </row>
    <row r="14" spans="1:12" x14ac:dyDescent="0.3">
      <c r="A14" s="2"/>
      <c r="B14" s="1"/>
      <c r="C14" s="54"/>
      <c r="D14" s="60">
        <f>100542</f>
        <v>100542</v>
      </c>
      <c r="E14" s="56">
        <f t="shared" si="1"/>
        <v>346047</v>
      </c>
      <c r="F14" s="5">
        <v>44086</v>
      </c>
      <c r="G14" s="1">
        <v>25618</v>
      </c>
      <c r="H14" s="8">
        <f t="shared" si="0"/>
        <v>74</v>
      </c>
    </row>
    <row r="15" spans="1:12" x14ac:dyDescent="0.3">
      <c r="A15" s="2"/>
      <c r="B15" s="1"/>
      <c r="C15" s="54"/>
      <c r="D15" s="60">
        <f>11100+11100</f>
        <v>22200</v>
      </c>
      <c r="E15" s="56">
        <f t="shared" si="1"/>
        <v>323847</v>
      </c>
      <c r="F15" s="5">
        <v>44087</v>
      </c>
      <c r="G15" s="1">
        <v>25692</v>
      </c>
      <c r="H15" s="8">
        <f t="shared" si="0"/>
        <v>208</v>
      </c>
    </row>
    <row r="16" spans="1:12" x14ac:dyDescent="0.3">
      <c r="A16" s="2"/>
      <c r="B16" s="1"/>
      <c r="C16" s="54"/>
      <c r="D16" s="60">
        <f>85827+12500+12500+12600</f>
        <v>123427</v>
      </c>
      <c r="E16" s="56">
        <f t="shared" si="1"/>
        <v>200420</v>
      </c>
      <c r="F16" s="5">
        <v>44088</v>
      </c>
      <c r="G16" s="1">
        <v>25900</v>
      </c>
      <c r="H16" s="8">
        <f t="shared" si="0"/>
        <v>163</v>
      </c>
    </row>
    <row r="17" spans="1:8" x14ac:dyDescent="0.3">
      <c r="A17" s="2"/>
      <c r="B17" s="1"/>
      <c r="C17" s="54"/>
      <c r="D17" s="60">
        <f>2700*2</f>
        <v>5400</v>
      </c>
      <c r="E17" s="56">
        <f t="shared" si="1"/>
        <v>195020</v>
      </c>
      <c r="F17" s="5">
        <v>44089</v>
      </c>
      <c r="G17" s="1">
        <v>26063</v>
      </c>
      <c r="H17" s="8">
        <f t="shared" si="0"/>
        <v>92</v>
      </c>
    </row>
    <row r="18" spans="1:8" x14ac:dyDescent="0.3">
      <c r="A18" s="2"/>
      <c r="B18" s="1"/>
      <c r="C18" s="54"/>
      <c r="D18" s="60">
        <v>22200</v>
      </c>
      <c r="E18" s="56">
        <f t="shared" si="1"/>
        <v>172820</v>
      </c>
      <c r="F18" s="5">
        <v>44090</v>
      </c>
      <c r="G18" s="1">
        <v>26155</v>
      </c>
      <c r="H18" s="8">
        <f t="shared" si="0"/>
        <v>147</v>
      </c>
    </row>
    <row r="19" spans="1:8" x14ac:dyDescent="0.3">
      <c r="A19" s="2"/>
      <c r="B19" s="1"/>
      <c r="C19" s="54"/>
      <c r="D19" s="60">
        <v>22200</v>
      </c>
      <c r="E19" s="56">
        <f t="shared" si="1"/>
        <v>150620</v>
      </c>
      <c r="F19" s="5">
        <v>44091</v>
      </c>
      <c r="G19" s="1">
        <v>26302</v>
      </c>
      <c r="H19" s="8">
        <f t="shared" si="0"/>
        <v>123</v>
      </c>
    </row>
    <row r="20" spans="1:8" x14ac:dyDescent="0.3">
      <c r="A20" s="2"/>
      <c r="B20" s="1" t="s">
        <v>52</v>
      </c>
      <c r="C20" s="54"/>
      <c r="D20" s="60">
        <v>190000</v>
      </c>
      <c r="E20" s="56">
        <f t="shared" si="1"/>
        <v>-39380</v>
      </c>
      <c r="F20" s="5">
        <v>44092</v>
      </c>
      <c r="G20" s="1">
        <v>26425</v>
      </c>
      <c r="H20" s="8">
        <f t="shared" si="0"/>
        <v>100</v>
      </c>
    </row>
    <row r="21" spans="1:8" x14ac:dyDescent="0.3">
      <c r="A21" s="2"/>
      <c r="B21" s="1"/>
      <c r="C21" s="54"/>
      <c r="D21" s="60"/>
      <c r="E21" s="56">
        <f t="shared" si="1"/>
        <v>-39380</v>
      </c>
      <c r="F21" s="5">
        <v>44093</v>
      </c>
      <c r="G21" s="1">
        <v>26525</v>
      </c>
      <c r="H21" s="8">
        <f t="shared" si="0"/>
        <v>11</v>
      </c>
    </row>
    <row r="22" spans="1:8" x14ac:dyDescent="0.3">
      <c r="A22" s="2"/>
      <c r="B22" s="1"/>
      <c r="C22" s="54"/>
      <c r="D22" s="55"/>
      <c r="E22" s="56">
        <f t="shared" si="1"/>
        <v>-39380</v>
      </c>
      <c r="F22" s="5">
        <v>44094</v>
      </c>
      <c r="G22" s="1">
        <v>26536</v>
      </c>
      <c r="H22" s="8">
        <f t="shared" si="0"/>
        <v>73</v>
      </c>
    </row>
    <row r="23" spans="1:8" x14ac:dyDescent="0.3">
      <c r="A23" s="2"/>
      <c r="B23" s="1"/>
      <c r="C23" s="54"/>
      <c r="D23" s="55"/>
      <c r="E23" s="56">
        <f t="shared" si="1"/>
        <v>-39380</v>
      </c>
      <c r="F23" s="5">
        <v>44095</v>
      </c>
      <c r="G23" s="1">
        <v>26609</v>
      </c>
      <c r="H23" s="8">
        <f t="shared" si="0"/>
        <v>76</v>
      </c>
    </row>
    <row r="24" spans="1:8" x14ac:dyDescent="0.3">
      <c r="A24" s="2"/>
      <c r="B24" s="1"/>
      <c r="C24" s="54"/>
      <c r="D24" s="55"/>
      <c r="E24" s="56">
        <f t="shared" si="1"/>
        <v>-39380</v>
      </c>
      <c r="F24" s="5">
        <v>44096</v>
      </c>
      <c r="G24" s="1">
        <v>26685</v>
      </c>
      <c r="H24" s="8">
        <f t="shared" si="0"/>
        <v>160</v>
      </c>
    </row>
    <row r="25" spans="1:8" x14ac:dyDescent="0.3">
      <c r="A25" s="2"/>
      <c r="B25" s="1"/>
      <c r="C25" s="54"/>
      <c r="D25" s="55"/>
      <c r="E25" s="56">
        <f t="shared" si="1"/>
        <v>-39380</v>
      </c>
      <c r="F25" s="5">
        <v>44097</v>
      </c>
      <c r="G25" s="1">
        <v>26845</v>
      </c>
      <c r="H25" s="8">
        <f t="shared" si="0"/>
        <v>2</v>
      </c>
    </row>
    <row r="26" spans="1:8" x14ac:dyDescent="0.3">
      <c r="A26" s="2"/>
      <c r="B26" s="1"/>
      <c r="C26" s="54"/>
      <c r="D26" s="55"/>
      <c r="E26" s="56">
        <f t="shared" si="1"/>
        <v>-39380</v>
      </c>
      <c r="F26" s="5">
        <v>44098</v>
      </c>
      <c r="G26" s="1">
        <v>26847</v>
      </c>
      <c r="H26" s="8">
        <f t="shared" si="0"/>
        <v>156</v>
      </c>
    </row>
    <row r="27" spans="1:8" x14ac:dyDescent="0.3">
      <c r="A27" s="2"/>
      <c r="B27" s="1"/>
      <c r="C27" s="54"/>
      <c r="D27" s="55"/>
      <c r="E27" s="56">
        <f t="shared" si="1"/>
        <v>-39380</v>
      </c>
      <c r="F27" s="5">
        <v>44099</v>
      </c>
      <c r="G27" s="1">
        <v>27003</v>
      </c>
      <c r="H27" s="8">
        <f t="shared" si="0"/>
        <v>157</v>
      </c>
    </row>
    <row r="28" spans="1:8" x14ac:dyDescent="0.3">
      <c r="A28" s="2"/>
      <c r="B28" s="1"/>
      <c r="C28" s="54"/>
      <c r="D28" s="55"/>
      <c r="E28" s="56">
        <f t="shared" si="1"/>
        <v>-39380</v>
      </c>
      <c r="F28" s="5">
        <v>44100</v>
      </c>
      <c r="G28" s="1">
        <v>27160</v>
      </c>
      <c r="H28" s="8">
        <f t="shared" si="0"/>
        <v>0</v>
      </c>
    </row>
    <row r="29" spans="1:8" x14ac:dyDescent="0.3">
      <c r="A29" s="2"/>
      <c r="B29" s="1"/>
      <c r="C29" s="54"/>
      <c r="D29" s="55"/>
      <c r="E29" s="56">
        <f t="shared" si="1"/>
        <v>-39380</v>
      </c>
      <c r="F29" s="5">
        <v>44101</v>
      </c>
      <c r="G29" s="1">
        <v>27160</v>
      </c>
      <c r="H29" s="8">
        <f t="shared" si="0"/>
        <v>137</v>
      </c>
    </row>
    <row r="30" spans="1:8" x14ac:dyDescent="0.3">
      <c r="A30" s="2"/>
      <c r="B30" s="1"/>
      <c r="C30" s="54"/>
      <c r="D30" s="55"/>
      <c r="E30" s="56">
        <f t="shared" si="1"/>
        <v>-39380</v>
      </c>
      <c r="F30" s="5">
        <v>44102</v>
      </c>
      <c r="G30" s="1">
        <v>27297</v>
      </c>
      <c r="H30" s="8">
        <f t="shared" si="0"/>
        <v>103</v>
      </c>
    </row>
    <row r="31" spans="1:8" x14ac:dyDescent="0.3">
      <c r="A31" s="2"/>
      <c r="B31" s="1"/>
      <c r="C31" s="54"/>
      <c r="D31" s="55"/>
      <c r="E31" s="56">
        <f t="shared" si="1"/>
        <v>-39380</v>
      </c>
      <c r="F31" s="5">
        <v>44103</v>
      </c>
      <c r="G31" s="1">
        <v>27400</v>
      </c>
      <c r="H31" s="8">
        <f t="shared" si="0"/>
        <v>174</v>
      </c>
    </row>
    <row r="32" spans="1:8" ht="15" thickBot="1" x14ac:dyDescent="0.35">
      <c r="A32" s="3"/>
      <c r="B32" s="4"/>
      <c r="C32" s="57"/>
      <c r="D32" s="58"/>
      <c r="E32" s="56">
        <f t="shared" si="1"/>
        <v>-39380</v>
      </c>
      <c r="F32" s="6">
        <v>44104</v>
      </c>
      <c r="G32" s="4">
        <v>27574</v>
      </c>
      <c r="H32" s="8">
        <v>0</v>
      </c>
    </row>
    <row r="33" spans="3:8" x14ac:dyDescent="0.3">
      <c r="C33" s="59">
        <f>SUM(C3:C32)</f>
        <v>1030000</v>
      </c>
      <c r="D33" s="59">
        <f>SUM(D3:D32)</f>
        <v>1069380</v>
      </c>
      <c r="E33" s="56">
        <f t="shared" si="1"/>
        <v>-78760</v>
      </c>
      <c r="G33" t="s">
        <v>14</v>
      </c>
      <c r="H33" s="16">
        <f>+SUM(H3:H32)</f>
        <v>3273</v>
      </c>
    </row>
    <row r="34" spans="3:8" x14ac:dyDescent="0.3">
      <c r="C34" s="99">
        <f>+C33-D33</f>
        <v>-39380</v>
      </c>
      <c r="D34" s="99"/>
      <c r="E34" s="56">
        <f t="shared" si="1"/>
        <v>-118140</v>
      </c>
      <c r="G34" t="s">
        <v>15</v>
      </c>
      <c r="H34">
        <f>AVERAGEIF(H3:H32,"&gt;0",H3:H32)</f>
        <v>121.22222222222223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>
      <selection activeCell="K7" sqref="K7"/>
    </sheetView>
  </sheetViews>
  <sheetFormatPr baseColWidth="10" defaultRowHeight="14.4" x14ac:dyDescent="0.3"/>
  <cols>
    <col min="2" max="2" width="13.33203125" bestFit="1" customWidth="1"/>
    <col min="3" max="3" width="12.5546875" bestFit="1" customWidth="1"/>
    <col min="4" max="4" width="11.5546875" bestFit="1" customWidth="1"/>
    <col min="5" max="5" width="10.44140625" bestFit="1" customWidth="1"/>
    <col min="6" max="6" width="11.109375" bestFit="1" customWidth="1"/>
    <col min="7" max="7" width="15" bestFit="1" customWidth="1"/>
    <col min="8" max="8" width="13" bestFit="1" customWidth="1"/>
  </cols>
  <sheetData>
    <row r="1" spans="1:8" ht="15" thickBot="1" x14ac:dyDescent="0.35">
      <c r="A1" s="141" t="s">
        <v>0</v>
      </c>
      <c r="B1" s="141"/>
      <c r="C1" s="141"/>
      <c r="D1" s="141"/>
      <c r="E1" s="141"/>
      <c r="F1" s="141"/>
      <c r="G1" s="141"/>
      <c r="H1" s="141"/>
    </row>
    <row r="2" spans="1:8" ht="15" thickBot="1" x14ac:dyDescent="0.35">
      <c r="A2" s="107" t="s">
        <v>1</v>
      </c>
      <c r="B2" s="108" t="s">
        <v>2</v>
      </c>
      <c r="C2" s="111" t="s">
        <v>3</v>
      </c>
      <c r="D2" s="112" t="s">
        <v>4</v>
      </c>
      <c r="E2" s="113" t="s">
        <v>7</v>
      </c>
      <c r="F2" s="107" t="s">
        <v>95</v>
      </c>
      <c r="G2" s="108" t="s">
        <v>5</v>
      </c>
      <c r="H2" s="108" t="s">
        <v>6</v>
      </c>
    </row>
    <row r="3" spans="1:8" x14ac:dyDescent="0.3">
      <c r="A3" s="19">
        <v>44105</v>
      </c>
      <c r="B3" s="10"/>
      <c r="C3" s="54">
        <v>195000</v>
      </c>
      <c r="D3" s="54"/>
      <c r="E3" s="54">
        <f>+C3-D3</f>
        <v>195000</v>
      </c>
      <c r="F3" s="65">
        <v>44105</v>
      </c>
      <c r="G3" s="8">
        <v>27574</v>
      </c>
      <c r="H3" s="8">
        <f>+G4-G3</f>
        <v>93</v>
      </c>
    </row>
    <row r="4" spans="1:8" x14ac:dyDescent="0.3">
      <c r="A4" s="19">
        <v>44105</v>
      </c>
      <c r="B4" s="11"/>
      <c r="C4" s="54">
        <v>200000</v>
      </c>
      <c r="D4" s="54"/>
      <c r="E4" s="54">
        <f>+E3+C4-D4</f>
        <v>395000</v>
      </c>
      <c r="F4" s="65">
        <v>44106</v>
      </c>
      <c r="G4" s="1">
        <v>27667</v>
      </c>
      <c r="H4" s="8">
        <f t="shared" ref="H4:H32" si="0">+G5-G4</f>
        <v>142</v>
      </c>
    </row>
    <row r="5" spans="1:8" x14ac:dyDescent="0.3">
      <c r="A5" s="19">
        <v>44110</v>
      </c>
      <c r="B5" s="11"/>
      <c r="C5" s="54">
        <v>420000</v>
      </c>
      <c r="D5" s="54"/>
      <c r="E5" s="54">
        <f t="shared" ref="E5:E38" si="1">+E4+C5-D5</f>
        <v>815000</v>
      </c>
      <c r="F5" s="65">
        <v>44107</v>
      </c>
      <c r="G5" s="20">
        <v>27809</v>
      </c>
      <c r="H5" s="8">
        <f t="shared" si="0"/>
        <v>101</v>
      </c>
    </row>
    <row r="6" spans="1:8" x14ac:dyDescent="0.3">
      <c r="A6" s="19">
        <v>44105</v>
      </c>
      <c r="B6" s="11" t="s">
        <v>8</v>
      </c>
      <c r="C6" s="54"/>
      <c r="D6" s="54">
        <v>100000</v>
      </c>
      <c r="E6" s="54">
        <f t="shared" si="1"/>
        <v>715000</v>
      </c>
      <c r="F6" s="65">
        <v>44108</v>
      </c>
      <c r="G6" s="20">
        <v>27910</v>
      </c>
      <c r="H6" s="8">
        <f t="shared" si="0"/>
        <v>0</v>
      </c>
    </row>
    <row r="7" spans="1:8" x14ac:dyDescent="0.3">
      <c r="A7" s="19">
        <v>44106</v>
      </c>
      <c r="B7" s="11" t="s">
        <v>8</v>
      </c>
      <c r="C7" s="54"/>
      <c r="D7" s="54">
        <v>50000</v>
      </c>
      <c r="E7" s="54">
        <f t="shared" si="1"/>
        <v>665000</v>
      </c>
      <c r="F7" s="65">
        <v>44109</v>
      </c>
      <c r="G7" s="1">
        <v>27910</v>
      </c>
      <c r="H7" s="8">
        <f t="shared" si="0"/>
        <v>94</v>
      </c>
    </row>
    <row r="8" spans="1:8" x14ac:dyDescent="0.3">
      <c r="A8" s="19">
        <v>44106</v>
      </c>
      <c r="B8" s="11" t="s">
        <v>9</v>
      </c>
      <c r="C8" s="54"/>
      <c r="D8" s="54">
        <v>5400</v>
      </c>
      <c r="E8" s="54">
        <f t="shared" si="1"/>
        <v>659600</v>
      </c>
      <c r="F8" s="65">
        <v>44110</v>
      </c>
      <c r="G8" s="16">
        <v>28004</v>
      </c>
      <c r="H8" s="8">
        <f t="shared" si="0"/>
        <v>135</v>
      </c>
    </row>
    <row r="9" spans="1:8" x14ac:dyDescent="0.3">
      <c r="A9" s="19">
        <v>44106</v>
      </c>
      <c r="B9" s="11" t="s">
        <v>10</v>
      </c>
      <c r="C9" s="54"/>
      <c r="D9" s="54">
        <v>9000</v>
      </c>
      <c r="E9" s="54">
        <f t="shared" si="1"/>
        <v>650600</v>
      </c>
      <c r="F9" s="65">
        <v>44111</v>
      </c>
      <c r="G9" s="1">
        <v>28139</v>
      </c>
      <c r="H9" s="8">
        <f t="shared" si="0"/>
        <v>396</v>
      </c>
    </row>
    <row r="10" spans="1:8" x14ac:dyDescent="0.3">
      <c r="A10" s="19">
        <v>44106</v>
      </c>
      <c r="B10" s="11" t="s">
        <v>11</v>
      </c>
      <c r="C10" s="54"/>
      <c r="D10" s="54">
        <v>20000</v>
      </c>
      <c r="E10" s="54">
        <f t="shared" si="1"/>
        <v>630600</v>
      </c>
      <c r="F10" s="65">
        <v>44112</v>
      </c>
      <c r="G10" s="1">
        <v>28535</v>
      </c>
      <c r="H10" s="8">
        <f t="shared" si="0"/>
        <v>342</v>
      </c>
    </row>
    <row r="11" spans="1:8" x14ac:dyDescent="0.3">
      <c r="A11" s="19">
        <v>44109</v>
      </c>
      <c r="B11" s="11" t="s">
        <v>12</v>
      </c>
      <c r="C11" s="54"/>
      <c r="D11" s="54">
        <v>6600</v>
      </c>
      <c r="E11" s="54">
        <f t="shared" si="1"/>
        <v>624000</v>
      </c>
      <c r="F11" s="65">
        <v>44113</v>
      </c>
      <c r="G11" s="1">
        <v>28877</v>
      </c>
      <c r="H11" s="8">
        <f t="shared" si="0"/>
        <v>133</v>
      </c>
    </row>
    <row r="12" spans="1:8" x14ac:dyDescent="0.3">
      <c r="A12" s="19">
        <v>44110</v>
      </c>
      <c r="B12" s="11" t="s">
        <v>12</v>
      </c>
      <c r="C12" s="54"/>
      <c r="D12" s="54">
        <v>3300</v>
      </c>
      <c r="E12" s="54">
        <f t="shared" si="1"/>
        <v>620700</v>
      </c>
      <c r="F12" s="65">
        <v>44114</v>
      </c>
      <c r="G12" s="1">
        <v>29010</v>
      </c>
      <c r="H12" s="8">
        <f t="shared" si="0"/>
        <v>67</v>
      </c>
    </row>
    <row r="13" spans="1:8" x14ac:dyDescent="0.3">
      <c r="A13" s="19">
        <v>44110</v>
      </c>
      <c r="B13" s="11" t="s">
        <v>9</v>
      </c>
      <c r="C13" s="54"/>
      <c r="D13" s="54">
        <v>5400</v>
      </c>
      <c r="E13" s="54">
        <f t="shared" si="1"/>
        <v>615300</v>
      </c>
      <c r="F13" s="65">
        <v>44115</v>
      </c>
      <c r="G13" s="1">
        <v>29077</v>
      </c>
      <c r="H13" s="8">
        <f t="shared" si="0"/>
        <v>171</v>
      </c>
    </row>
    <row r="14" spans="1:8" x14ac:dyDescent="0.3">
      <c r="A14" s="19">
        <v>44110</v>
      </c>
      <c r="B14" s="11" t="s">
        <v>8</v>
      </c>
      <c r="C14" s="54"/>
      <c r="D14" s="54">
        <v>30000</v>
      </c>
      <c r="E14" s="54">
        <f t="shared" si="1"/>
        <v>585300</v>
      </c>
      <c r="F14" s="65">
        <v>44116</v>
      </c>
      <c r="G14" s="1">
        <v>29248</v>
      </c>
      <c r="H14" s="8">
        <f t="shared" si="0"/>
        <v>80</v>
      </c>
    </row>
    <row r="15" spans="1:8" x14ac:dyDescent="0.3">
      <c r="A15" s="19">
        <v>44111</v>
      </c>
      <c r="B15" s="11" t="s">
        <v>8</v>
      </c>
      <c r="C15" s="54"/>
      <c r="D15" s="54">
        <v>120999</v>
      </c>
      <c r="E15" s="54">
        <f t="shared" si="1"/>
        <v>464301</v>
      </c>
      <c r="F15" s="65">
        <v>44117</v>
      </c>
      <c r="G15" s="1">
        <v>29328</v>
      </c>
      <c r="H15" s="8">
        <f t="shared" si="0"/>
        <v>128</v>
      </c>
    </row>
    <row r="16" spans="1:8" x14ac:dyDescent="0.3">
      <c r="A16" s="19">
        <v>44111</v>
      </c>
      <c r="B16" s="11" t="s">
        <v>13</v>
      </c>
      <c r="C16" s="54"/>
      <c r="D16" s="54">
        <f>5400+12500+12600+12600+5000</f>
        <v>48100</v>
      </c>
      <c r="E16" s="54">
        <f t="shared" si="1"/>
        <v>416201</v>
      </c>
      <c r="F16" s="65">
        <v>44118</v>
      </c>
      <c r="G16" s="1">
        <v>29456</v>
      </c>
      <c r="H16" s="8">
        <f t="shared" si="0"/>
        <v>87</v>
      </c>
    </row>
    <row r="17" spans="1:8" x14ac:dyDescent="0.3">
      <c r="A17" s="19">
        <v>44112</v>
      </c>
      <c r="B17" s="11" t="s">
        <v>13</v>
      </c>
      <c r="C17" s="54"/>
      <c r="D17" s="54">
        <f>5400+12500+12600+12600+5000</f>
        <v>48100</v>
      </c>
      <c r="E17" s="54">
        <f t="shared" si="1"/>
        <v>368101</v>
      </c>
      <c r="F17" s="65">
        <v>44119</v>
      </c>
      <c r="G17" s="1">
        <v>29543</v>
      </c>
      <c r="H17" s="8">
        <f t="shared" si="0"/>
        <v>76</v>
      </c>
    </row>
    <row r="18" spans="1:8" x14ac:dyDescent="0.3">
      <c r="A18" s="19">
        <v>44113</v>
      </c>
      <c r="B18" s="11" t="s">
        <v>9</v>
      </c>
      <c r="C18" s="54"/>
      <c r="D18" s="54">
        <v>5400</v>
      </c>
      <c r="E18" s="54">
        <f t="shared" si="1"/>
        <v>362701</v>
      </c>
      <c r="F18" s="65">
        <v>44120</v>
      </c>
      <c r="G18" s="1">
        <v>29619</v>
      </c>
      <c r="H18" s="8">
        <f t="shared" si="0"/>
        <v>90</v>
      </c>
    </row>
    <row r="19" spans="1:8" x14ac:dyDescent="0.3">
      <c r="A19" s="19">
        <v>44112</v>
      </c>
      <c r="B19" s="11" t="s">
        <v>8</v>
      </c>
      <c r="C19" s="54"/>
      <c r="D19" s="54">
        <v>97001</v>
      </c>
      <c r="E19" s="54">
        <f t="shared" si="1"/>
        <v>265700</v>
      </c>
      <c r="F19" s="65">
        <v>44121</v>
      </c>
      <c r="G19" s="1">
        <v>29709</v>
      </c>
      <c r="H19" s="8">
        <f t="shared" si="0"/>
        <v>3</v>
      </c>
    </row>
    <row r="20" spans="1:8" x14ac:dyDescent="0.3">
      <c r="A20" s="19">
        <v>44117</v>
      </c>
      <c r="B20" s="11"/>
      <c r="C20" s="54">
        <v>190000</v>
      </c>
      <c r="D20" s="54"/>
      <c r="E20" s="54">
        <f t="shared" si="1"/>
        <v>455700</v>
      </c>
      <c r="F20" s="65">
        <v>44122</v>
      </c>
      <c r="G20" s="1">
        <v>29712</v>
      </c>
      <c r="H20" s="8">
        <f t="shared" si="0"/>
        <v>0</v>
      </c>
    </row>
    <row r="21" spans="1:8" x14ac:dyDescent="0.3">
      <c r="A21" s="19">
        <v>44124</v>
      </c>
      <c r="B21" s="11"/>
      <c r="C21" s="54">
        <v>200000</v>
      </c>
      <c r="D21" s="54"/>
      <c r="E21" s="54">
        <f t="shared" si="1"/>
        <v>655700</v>
      </c>
      <c r="F21" s="65">
        <v>44123</v>
      </c>
      <c r="G21" s="1">
        <v>29712</v>
      </c>
      <c r="H21" s="8">
        <f t="shared" si="0"/>
        <v>50</v>
      </c>
    </row>
    <row r="22" spans="1:8" x14ac:dyDescent="0.3">
      <c r="A22" s="19">
        <v>44113</v>
      </c>
      <c r="B22" s="11"/>
      <c r="C22" s="54"/>
      <c r="D22" s="54">
        <v>5400</v>
      </c>
      <c r="E22" s="54">
        <f t="shared" si="1"/>
        <v>650300</v>
      </c>
      <c r="F22" s="65">
        <v>44124</v>
      </c>
      <c r="G22" s="1">
        <v>29762</v>
      </c>
      <c r="H22" s="8">
        <f t="shared" si="0"/>
        <v>178</v>
      </c>
    </row>
    <row r="23" spans="1:8" x14ac:dyDescent="0.3">
      <c r="A23" s="19">
        <v>44115</v>
      </c>
      <c r="B23" s="11"/>
      <c r="C23" s="54"/>
      <c r="D23" s="54">
        <v>70000</v>
      </c>
      <c r="E23" s="54">
        <f t="shared" si="1"/>
        <v>580300</v>
      </c>
      <c r="F23" s="65">
        <v>44125</v>
      </c>
      <c r="G23" s="1">
        <v>29940</v>
      </c>
      <c r="H23" s="8">
        <f t="shared" si="0"/>
        <v>135</v>
      </c>
    </row>
    <row r="24" spans="1:8" x14ac:dyDescent="0.3">
      <c r="A24" s="19">
        <v>44117</v>
      </c>
      <c r="B24" s="11"/>
      <c r="C24" s="54"/>
      <c r="D24" s="54">
        <v>116972</v>
      </c>
      <c r="E24" s="54">
        <f t="shared" si="1"/>
        <v>463328</v>
      </c>
      <c r="F24" s="65">
        <v>44126</v>
      </c>
      <c r="G24" s="1">
        <v>30075</v>
      </c>
      <c r="H24" s="8">
        <f t="shared" si="0"/>
        <v>153</v>
      </c>
    </row>
    <row r="25" spans="1:8" x14ac:dyDescent="0.3">
      <c r="A25" s="19">
        <v>44117</v>
      </c>
      <c r="B25" s="11"/>
      <c r="C25" s="54"/>
      <c r="D25" s="54">
        <f>22200+2700</f>
        <v>24900</v>
      </c>
      <c r="E25" s="54">
        <f t="shared" si="1"/>
        <v>438428</v>
      </c>
      <c r="F25" s="65">
        <v>44127</v>
      </c>
      <c r="G25" s="1">
        <v>30228</v>
      </c>
      <c r="H25" s="8">
        <f t="shared" si="0"/>
        <v>67</v>
      </c>
    </row>
    <row r="26" spans="1:8" x14ac:dyDescent="0.3">
      <c r="A26" s="19">
        <v>44121</v>
      </c>
      <c r="B26" s="11"/>
      <c r="C26" s="54"/>
      <c r="D26" s="54">
        <v>51408</v>
      </c>
      <c r="E26" s="54">
        <f t="shared" si="1"/>
        <v>387020</v>
      </c>
      <c r="F26" s="65">
        <v>44128</v>
      </c>
      <c r="G26" s="1">
        <v>30295</v>
      </c>
      <c r="H26" s="8">
        <f t="shared" si="0"/>
        <v>0</v>
      </c>
    </row>
    <row r="27" spans="1:8" x14ac:dyDescent="0.3">
      <c r="A27" s="19">
        <v>44121</v>
      </c>
      <c r="B27" s="11"/>
      <c r="C27" s="54"/>
      <c r="D27" s="54">
        <v>30000</v>
      </c>
      <c r="E27" s="54">
        <f t="shared" si="1"/>
        <v>357020</v>
      </c>
      <c r="F27" s="65">
        <v>44129</v>
      </c>
      <c r="G27" s="1">
        <v>30295</v>
      </c>
      <c r="H27" s="8">
        <f t="shared" si="0"/>
        <v>316</v>
      </c>
    </row>
    <row r="28" spans="1:8" x14ac:dyDescent="0.3">
      <c r="A28" s="19">
        <v>44124</v>
      </c>
      <c r="B28" s="11"/>
      <c r="C28" s="54"/>
      <c r="D28" s="54">
        <v>134990</v>
      </c>
      <c r="E28" s="54">
        <f t="shared" si="1"/>
        <v>222030</v>
      </c>
      <c r="F28" s="65">
        <v>44130</v>
      </c>
      <c r="G28" s="1">
        <v>30611</v>
      </c>
      <c r="H28" s="8">
        <f t="shared" si="0"/>
        <v>92</v>
      </c>
    </row>
    <row r="29" spans="1:8" x14ac:dyDescent="0.3">
      <c r="A29" s="19">
        <v>44124</v>
      </c>
      <c r="B29" s="11"/>
      <c r="C29" s="54"/>
      <c r="D29" s="54">
        <f>12500+12600+12600+9100</f>
        <v>46800</v>
      </c>
      <c r="E29" s="54">
        <f t="shared" si="1"/>
        <v>175230</v>
      </c>
      <c r="F29" s="65">
        <v>44131</v>
      </c>
      <c r="G29" s="1">
        <v>30703</v>
      </c>
      <c r="H29" s="8">
        <f t="shared" si="0"/>
        <v>118</v>
      </c>
    </row>
    <row r="30" spans="1:8" x14ac:dyDescent="0.3">
      <c r="A30" s="19">
        <v>44125</v>
      </c>
      <c r="B30" s="11"/>
      <c r="C30" s="54"/>
      <c r="D30" s="54">
        <f>12500+50200</f>
        <v>62700</v>
      </c>
      <c r="E30" s="54">
        <f t="shared" si="1"/>
        <v>112530</v>
      </c>
      <c r="F30" s="65">
        <v>44132</v>
      </c>
      <c r="G30" s="1">
        <v>30821</v>
      </c>
      <c r="H30" s="8">
        <f t="shared" si="0"/>
        <v>98</v>
      </c>
    </row>
    <row r="31" spans="1:8" x14ac:dyDescent="0.3">
      <c r="A31" s="19">
        <v>44125</v>
      </c>
      <c r="B31" s="11"/>
      <c r="C31" s="54">
        <v>100000</v>
      </c>
      <c r="D31" s="54"/>
      <c r="E31" s="54">
        <f t="shared" si="1"/>
        <v>212530</v>
      </c>
      <c r="F31" s="65">
        <v>44133</v>
      </c>
      <c r="G31" s="1">
        <v>30919</v>
      </c>
      <c r="H31" s="8">
        <f t="shared" si="0"/>
        <v>72</v>
      </c>
    </row>
    <row r="32" spans="1:8" ht="15" thickBot="1" x14ac:dyDescent="0.35">
      <c r="A32" s="21">
        <v>44127</v>
      </c>
      <c r="B32" s="12"/>
      <c r="C32" s="54">
        <v>480000</v>
      </c>
      <c r="D32" s="54"/>
      <c r="E32" s="54">
        <f t="shared" si="1"/>
        <v>692530</v>
      </c>
      <c r="F32" s="65">
        <v>44134</v>
      </c>
      <c r="G32" s="4">
        <v>30991</v>
      </c>
      <c r="H32" s="8">
        <f t="shared" si="0"/>
        <v>400</v>
      </c>
    </row>
    <row r="33" spans="1:8" x14ac:dyDescent="0.3">
      <c r="A33" s="18">
        <v>44127</v>
      </c>
      <c r="C33" s="54"/>
      <c r="D33" s="54">
        <v>475384</v>
      </c>
      <c r="E33" s="54">
        <f t="shared" si="1"/>
        <v>217146</v>
      </c>
      <c r="F33" s="65">
        <v>44135</v>
      </c>
      <c r="G33" s="16">
        <v>31391</v>
      </c>
      <c r="H33" s="8">
        <f>+'NOV-20'!G3-'OCT-20'!G33</f>
        <v>100</v>
      </c>
    </row>
    <row r="34" spans="1:8" x14ac:dyDescent="0.3">
      <c r="A34" s="22">
        <v>44127</v>
      </c>
      <c r="C34" s="54"/>
      <c r="D34" s="54">
        <v>30000</v>
      </c>
      <c r="E34" s="54">
        <f t="shared" si="1"/>
        <v>187146</v>
      </c>
      <c r="G34" s="34" t="s">
        <v>14</v>
      </c>
      <c r="H34" s="36">
        <f>SUM(H3:H33)</f>
        <v>3917</v>
      </c>
    </row>
    <row r="35" spans="1:8" x14ac:dyDescent="0.3">
      <c r="A35" s="18">
        <v>44127</v>
      </c>
      <c r="C35" s="54">
        <v>100000</v>
      </c>
      <c r="D35" s="54">
        <v>220000</v>
      </c>
      <c r="E35" s="54">
        <f t="shared" si="1"/>
        <v>67146</v>
      </c>
      <c r="G35" s="34" t="s">
        <v>15</v>
      </c>
      <c r="H35" s="34">
        <f>AVERAGEIF(H3:H33,"&gt;0",H3:H33)</f>
        <v>139.89285714285714</v>
      </c>
    </row>
    <row r="36" spans="1:8" x14ac:dyDescent="0.3">
      <c r="A36" s="18">
        <v>44130</v>
      </c>
      <c r="C36" s="54"/>
      <c r="D36" s="54">
        <f>4500+2700+2700</f>
        <v>9900</v>
      </c>
      <c r="E36" s="54">
        <f t="shared" si="1"/>
        <v>57246</v>
      </c>
    </row>
    <row r="37" spans="1:8" x14ac:dyDescent="0.3">
      <c r="C37" s="54"/>
      <c r="D37" s="54">
        <v>50000</v>
      </c>
      <c r="E37" s="54">
        <f t="shared" si="1"/>
        <v>7246</v>
      </c>
    </row>
    <row r="38" spans="1:8" x14ac:dyDescent="0.3">
      <c r="C38" s="54"/>
      <c r="D38" s="54">
        <v>20000</v>
      </c>
      <c r="E38" s="54">
        <f t="shared" si="1"/>
        <v>-12754</v>
      </c>
    </row>
    <row r="39" spans="1:8" x14ac:dyDescent="0.3">
      <c r="C39" s="54">
        <f>+SUM(C3:C38)</f>
        <v>1885000</v>
      </c>
      <c r="D39" s="54">
        <f>+SUM(D3:D38)</f>
        <v>1897754</v>
      </c>
      <c r="E39" s="54"/>
    </row>
    <row r="40" spans="1:8" x14ac:dyDescent="0.3">
      <c r="C40" s="100">
        <f>+C39-D39</f>
        <v>-12754</v>
      </c>
      <c r="D40" s="100"/>
      <c r="E40" s="100"/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5"/>
  <sheetViews>
    <sheetView topLeftCell="A20" workbookViewId="0">
      <selection activeCell="G38" sqref="G38"/>
    </sheetView>
  </sheetViews>
  <sheetFormatPr baseColWidth="10" defaultRowHeight="14.4" x14ac:dyDescent="0.3"/>
  <cols>
    <col min="2" max="2" width="30.5546875" customWidth="1"/>
    <col min="3" max="4" width="11.5546875" bestFit="1" customWidth="1"/>
    <col min="5" max="5" width="10" bestFit="1" customWidth="1"/>
    <col min="7" max="7" width="12.5546875" customWidth="1"/>
  </cols>
  <sheetData>
    <row r="1" spans="1:8" ht="15" thickBot="1" x14ac:dyDescent="0.35">
      <c r="A1" s="141" t="s">
        <v>0</v>
      </c>
      <c r="B1" s="141"/>
      <c r="C1" s="141"/>
      <c r="D1" s="141"/>
      <c r="E1" s="141"/>
      <c r="F1" s="141"/>
      <c r="G1" s="141"/>
      <c r="H1" s="141"/>
    </row>
    <row r="2" spans="1:8" ht="15" thickBot="1" x14ac:dyDescent="0.35">
      <c r="A2" s="107" t="s">
        <v>1</v>
      </c>
      <c r="B2" s="108" t="s">
        <v>2</v>
      </c>
      <c r="C2" s="111" t="s">
        <v>3</v>
      </c>
      <c r="D2" s="112" t="s">
        <v>4</v>
      </c>
      <c r="E2" s="113" t="s">
        <v>7</v>
      </c>
      <c r="F2" s="107" t="s">
        <v>95</v>
      </c>
      <c r="G2" s="108" t="s">
        <v>5</v>
      </c>
      <c r="H2" s="108" t="s">
        <v>6</v>
      </c>
    </row>
    <row r="3" spans="1:8" x14ac:dyDescent="0.3">
      <c r="A3" s="19">
        <v>44503</v>
      </c>
      <c r="B3" s="10"/>
      <c r="C3" s="54">
        <v>150000</v>
      </c>
      <c r="D3" s="54"/>
      <c r="E3" s="54">
        <f>+C3-D3</f>
        <v>150000</v>
      </c>
      <c r="F3" s="65">
        <v>44136</v>
      </c>
      <c r="G3" s="8">
        <v>31491</v>
      </c>
      <c r="H3" s="8">
        <f>+G4-G3</f>
        <v>301</v>
      </c>
    </row>
    <row r="4" spans="1:8" x14ac:dyDescent="0.3">
      <c r="A4" s="19">
        <v>44504</v>
      </c>
      <c r="B4" s="11" t="s">
        <v>35</v>
      </c>
      <c r="C4" s="54"/>
      <c r="D4" s="54">
        <v>80000</v>
      </c>
      <c r="E4" s="54">
        <f>+E3+C4-D4</f>
        <v>70000</v>
      </c>
      <c r="F4" s="65">
        <v>44137</v>
      </c>
      <c r="G4" s="1">
        <v>31792</v>
      </c>
      <c r="H4" s="8">
        <f t="shared" ref="H4:H32" si="0">+G5-G4</f>
        <v>100</v>
      </c>
    </row>
    <row r="5" spans="1:8" x14ac:dyDescent="0.3">
      <c r="A5" s="19">
        <v>44506</v>
      </c>
      <c r="B5" s="11" t="s">
        <v>35</v>
      </c>
      <c r="C5" s="54"/>
      <c r="D5" s="54">
        <v>100000</v>
      </c>
      <c r="E5" s="54">
        <f t="shared" ref="E5:E32" si="1">+E4+C5-D5</f>
        <v>-30000</v>
      </c>
      <c r="F5" s="65">
        <v>44138</v>
      </c>
      <c r="G5" s="1">
        <v>31892</v>
      </c>
      <c r="H5" s="8">
        <f t="shared" si="0"/>
        <v>79</v>
      </c>
    </row>
    <row r="6" spans="1:8" x14ac:dyDescent="0.3">
      <c r="A6" s="19">
        <v>44509</v>
      </c>
      <c r="B6" s="11" t="s">
        <v>36</v>
      </c>
      <c r="C6" s="54"/>
      <c r="D6" s="54">
        <v>16000</v>
      </c>
      <c r="E6" s="54">
        <f t="shared" si="1"/>
        <v>-46000</v>
      </c>
      <c r="F6" s="65">
        <v>44139</v>
      </c>
      <c r="G6" s="1">
        <v>31971</v>
      </c>
      <c r="H6" s="8">
        <f t="shared" si="0"/>
        <v>106</v>
      </c>
    </row>
    <row r="7" spans="1:8" x14ac:dyDescent="0.3">
      <c r="A7" s="19">
        <v>44511</v>
      </c>
      <c r="B7" s="11"/>
      <c r="C7" s="54">
        <v>200000</v>
      </c>
      <c r="D7" s="54"/>
      <c r="E7" s="54">
        <f t="shared" si="1"/>
        <v>154000</v>
      </c>
      <c r="F7" s="65">
        <v>44140</v>
      </c>
      <c r="G7" s="1">
        <v>32077</v>
      </c>
      <c r="H7" s="8">
        <f t="shared" si="0"/>
        <v>148</v>
      </c>
    </row>
    <row r="8" spans="1:8" x14ac:dyDescent="0.3">
      <c r="A8" s="19">
        <v>44511</v>
      </c>
      <c r="B8" s="11" t="s">
        <v>37</v>
      </c>
      <c r="C8" s="54"/>
      <c r="D8" s="54">
        <v>3300</v>
      </c>
      <c r="E8" s="54">
        <f t="shared" si="1"/>
        <v>150700</v>
      </c>
      <c r="F8" s="65">
        <v>44141</v>
      </c>
      <c r="G8" s="16">
        <v>32225</v>
      </c>
      <c r="H8" s="8">
        <f t="shared" si="0"/>
        <v>108</v>
      </c>
    </row>
    <row r="9" spans="1:8" x14ac:dyDescent="0.3">
      <c r="A9" s="19">
        <v>44514</v>
      </c>
      <c r="B9" s="11"/>
      <c r="C9" s="54">
        <v>400000</v>
      </c>
      <c r="D9" s="54"/>
      <c r="E9" s="54">
        <f t="shared" si="1"/>
        <v>550700</v>
      </c>
      <c r="F9" s="65">
        <v>44142</v>
      </c>
      <c r="G9" s="1">
        <v>32333</v>
      </c>
      <c r="H9" s="8">
        <f t="shared" si="0"/>
        <v>0</v>
      </c>
    </row>
    <row r="10" spans="1:8" x14ac:dyDescent="0.3">
      <c r="A10" s="19">
        <v>44514</v>
      </c>
      <c r="B10" s="11" t="s">
        <v>38</v>
      </c>
      <c r="C10" s="54"/>
      <c r="D10" s="54">
        <v>310000</v>
      </c>
      <c r="E10" s="54">
        <f t="shared" si="1"/>
        <v>240700</v>
      </c>
      <c r="F10" s="65">
        <v>44143</v>
      </c>
      <c r="G10" s="1">
        <v>32333</v>
      </c>
      <c r="H10" s="8">
        <f t="shared" si="0"/>
        <v>19</v>
      </c>
    </row>
    <row r="11" spans="1:8" x14ac:dyDescent="0.3">
      <c r="A11" s="19">
        <v>44514</v>
      </c>
      <c r="B11" s="11" t="s">
        <v>39</v>
      </c>
      <c r="C11" s="54"/>
      <c r="D11" s="54">
        <v>50000</v>
      </c>
      <c r="E11" s="54">
        <f t="shared" si="1"/>
        <v>190700</v>
      </c>
      <c r="F11" s="65">
        <v>44144</v>
      </c>
      <c r="G11" s="1">
        <v>32352</v>
      </c>
      <c r="H11" s="8">
        <f t="shared" si="0"/>
        <v>91</v>
      </c>
    </row>
    <row r="12" spans="1:8" x14ac:dyDescent="0.3">
      <c r="A12" s="19">
        <v>44519</v>
      </c>
      <c r="B12" s="11" t="s">
        <v>35</v>
      </c>
      <c r="C12" s="54"/>
      <c r="D12" s="54">
        <v>100000</v>
      </c>
      <c r="E12" s="54">
        <f t="shared" si="1"/>
        <v>90700</v>
      </c>
      <c r="F12" s="65">
        <v>44145</v>
      </c>
      <c r="G12" s="1">
        <v>32443</v>
      </c>
      <c r="H12" s="8">
        <f t="shared" si="0"/>
        <v>58</v>
      </c>
    </row>
    <row r="13" spans="1:8" x14ac:dyDescent="0.3">
      <c r="A13" s="19">
        <v>44520</v>
      </c>
      <c r="B13" s="11" t="s">
        <v>40</v>
      </c>
      <c r="C13" s="54"/>
      <c r="D13" s="54">
        <v>7800</v>
      </c>
      <c r="E13" s="54">
        <f t="shared" si="1"/>
        <v>82900</v>
      </c>
      <c r="F13" s="65">
        <v>44146</v>
      </c>
      <c r="G13" s="1">
        <v>32501</v>
      </c>
      <c r="H13" s="8">
        <f t="shared" si="0"/>
        <v>83</v>
      </c>
    </row>
    <row r="14" spans="1:8" x14ac:dyDescent="0.3">
      <c r="A14" s="19">
        <v>44521</v>
      </c>
      <c r="B14" s="11" t="s">
        <v>40</v>
      </c>
      <c r="C14" s="54"/>
      <c r="D14" s="54">
        <v>7800</v>
      </c>
      <c r="E14" s="54">
        <f t="shared" si="1"/>
        <v>75100</v>
      </c>
      <c r="F14" s="65">
        <v>44147</v>
      </c>
      <c r="G14" s="1">
        <v>32584</v>
      </c>
      <c r="H14" s="8">
        <f t="shared" si="0"/>
        <v>49</v>
      </c>
    </row>
    <row r="15" spans="1:8" x14ac:dyDescent="0.3">
      <c r="A15" s="19">
        <v>44524</v>
      </c>
      <c r="B15" s="11" t="s">
        <v>37</v>
      </c>
      <c r="C15" s="54"/>
      <c r="D15" s="54">
        <v>4000</v>
      </c>
      <c r="E15" s="54">
        <f t="shared" si="1"/>
        <v>71100</v>
      </c>
      <c r="F15" s="65">
        <v>44148</v>
      </c>
      <c r="G15" s="1">
        <v>32633</v>
      </c>
      <c r="H15" s="8">
        <f t="shared" si="0"/>
        <v>98</v>
      </c>
    </row>
    <row r="16" spans="1:8" x14ac:dyDescent="0.3">
      <c r="A16" s="19">
        <v>44524</v>
      </c>
      <c r="B16" s="11" t="s">
        <v>35</v>
      </c>
      <c r="C16" s="54"/>
      <c r="D16" s="54">
        <v>60000</v>
      </c>
      <c r="E16" s="54">
        <f t="shared" si="1"/>
        <v>11100</v>
      </c>
      <c r="F16" s="65">
        <v>44149</v>
      </c>
      <c r="G16" s="1">
        <v>32731</v>
      </c>
      <c r="H16" s="8">
        <f t="shared" si="0"/>
        <v>56</v>
      </c>
    </row>
    <row r="17" spans="1:8" x14ac:dyDescent="0.3">
      <c r="A17" s="19">
        <v>44524</v>
      </c>
      <c r="B17" s="11" t="s">
        <v>41</v>
      </c>
      <c r="C17" s="54"/>
      <c r="D17" s="54">
        <v>20000</v>
      </c>
      <c r="E17" s="54">
        <f t="shared" si="1"/>
        <v>-8900</v>
      </c>
      <c r="F17" s="65">
        <v>44150</v>
      </c>
      <c r="G17" s="1">
        <v>32787</v>
      </c>
      <c r="H17" s="8">
        <f t="shared" si="0"/>
        <v>32</v>
      </c>
    </row>
    <row r="18" spans="1:8" x14ac:dyDescent="0.3">
      <c r="A18" s="19">
        <v>44525</v>
      </c>
      <c r="B18" s="11" t="s">
        <v>35</v>
      </c>
      <c r="C18" s="54"/>
      <c r="D18" s="54">
        <v>90000</v>
      </c>
      <c r="E18" s="54">
        <f t="shared" si="1"/>
        <v>-98900</v>
      </c>
      <c r="F18" s="65">
        <v>44151</v>
      </c>
      <c r="G18" s="1">
        <v>32819</v>
      </c>
      <c r="H18" s="8">
        <f t="shared" si="0"/>
        <v>19</v>
      </c>
    </row>
    <row r="19" spans="1:8" x14ac:dyDescent="0.3">
      <c r="A19" s="19">
        <v>44525</v>
      </c>
      <c r="B19" s="11"/>
      <c r="C19" s="54">
        <v>100000</v>
      </c>
      <c r="D19" s="54"/>
      <c r="E19" s="54">
        <f t="shared" si="1"/>
        <v>1100</v>
      </c>
      <c r="F19" s="65">
        <v>44152</v>
      </c>
      <c r="G19" s="1">
        <v>32838</v>
      </c>
      <c r="H19" s="8">
        <f t="shared" si="0"/>
        <v>34</v>
      </c>
    </row>
    <row r="20" spans="1:8" x14ac:dyDescent="0.3">
      <c r="A20" s="19">
        <v>44528</v>
      </c>
      <c r="B20" s="11" t="s">
        <v>42</v>
      </c>
      <c r="C20" s="54">
        <v>200000</v>
      </c>
      <c r="D20" s="54"/>
      <c r="E20" s="54">
        <f t="shared" si="1"/>
        <v>201100</v>
      </c>
      <c r="F20" s="65">
        <v>44153</v>
      </c>
      <c r="G20" s="1">
        <v>32872</v>
      </c>
      <c r="H20" s="8">
        <f t="shared" si="0"/>
        <v>79</v>
      </c>
    </row>
    <row r="21" spans="1:8" x14ac:dyDescent="0.3">
      <c r="A21" s="19">
        <v>44528</v>
      </c>
      <c r="B21" s="11" t="s">
        <v>43</v>
      </c>
      <c r="C21" s="54"/>
      <c r="D21" s="54">
        <v>27000</v>
      </c>
      <c r="E21" s="54">
        <f t="shared" si="1"/>
        <v>174100</v>
      </c>
      <c r="F21" s="65">
        <v>44154</v>
      </c>
      <c r="G21" s="1">
        <v>32951</v>
      </c>
      <c r="H21" s="8">
        <f t="shared" si="0"/>
        <v>87</v>
      </c>
    </row>
    <row r="22" spans="1:8" x14ac:dyDescent="0.3">
      <c r="A22" s="19">
        <v>44528</v>
      </c>
      <c r="B22" s="11" t="s">
        <v>35</v>
      </c>
      <c r="C22" s="54"/>
      <c r="D22" s="54">
        <v>110000</v>
      </c>
      <c r="E22" s="54">
        <f t="shared" si="1"/>
        <v>64100</v>
      </c>
      <c r="F22" s="65">
        <v>44155</v>
      </c>
      <c r="G22" s="1">
        <v>33038</v>
      </c>
      <c r="H22" s="8">
        <f t="shared" si="0"/>
        <v>95</v>
      </c>
    </row>
    <row r="23" spans="1:8" x14ac:dyDescent="0.3">
      <c r="A23" s="19">
        <v>44528</v>
      </c>
      <c r="B23" s="11" t="s">
        <v>44</v>
      </c>
      <c r="C23" s="54"/>
      <c r="D23" s="54">
        <v>25100</v>
      </c>
      <c r="E23" s="54">
        <f t="shared" si="1"/>
        <v>39000</v>
      </c>
      <c r="F23" s="65">
        <v>44156</v>
      </c>
      <c r="G23" s="1">
        <v>33133</v>
      </c>
      <c r="H23" s="8">
        <f t="shared" si="0"/>
        <v>66</v>
      </c>
    </row>
    <row r="24" spans="1:8" x14ac:dyDescent="0.3">
      <c r="A24" s="19">
        <v>44529</v>
      </c>
      <c r="B24" s="11" t="s">
        <v>44</v>
      </c>
      <c r="C24" s="54"/>
      <c r="D24" s="54">
        <v>25100</v>
      </c>
      <c r="E24" s="54">
        <f t="shared" si="1"/>
        <v>13900</v>
      </c>
      <c r="F24" s="65">
        <v>44157</v>
      </c>
      <c r="G24" s="1">
        <v>33199</v>
      </c>
      <c r="H24" s="8">
        <f t="shared" si="0"/>
        <v>3</v>
      </c>
    </row>
    <row r="25" spans="1:8" x14ac:dyDescent="0.3">
      <c r="A25" s="19" t="s">
        <v>45</v>
      </c>
      <c r="B25" s="11" t="s">
        <v>46</v>
      </c>
      <c r="C25" s="54"/>
      <c r="D25" s="54">
        <v>34000</v>
      </c>
      <c r="E25" s="54">
        <f t="shared" si="1"/>
        <v>-20100</v>
      </c>
      <c r="F25" s="65">
        <v>44158</v>
      </c>
      <c r="G25" s="1">
        <v>33202</v>
      </c>
      <c r="H25" s="8">
        <f t="shared" si="0"/>
        <v>94</v>
      </c>
    </row>
    <row r="26" spans="1:8" x14ac:dyDescent="0.3">
      <c r="A26" s="2"/>
      <c r="B26" s="11"/>
      <c r="C26" s="54"/>
      <c r="D26" s="54">
        <v>115000</v>
      </c>
      <c r="E26" s="54">
        <f t="shared" si="1"/>
        <v>-135100</v>
      </c>
      <c r="F26" s="65">
        <v>44159</v>
      </c>
      <c r="G26" s="1">
        <v>33296</v>
      </c>
      <c r="H26" s="8">
        <f t="shared" si="0"/>
        <v>78</v>
      </c>
    </row>
    <row r="27" spans="1:8" x14ac:dyDescent="0.3">
      <c r="A27" s="2"/>
      <c r="B27" s="11"/>
      <c r="C27" s="54"/>
      <c r="D27" s="54"/>
      <c r="E27" s="54">
        <f t="shared" si="1"/>
        <v>-135100</v>
      </c>
      <c r="F27" s="65">
        <v>44160</v>
      </c>
      <c r="G27" s="1">
        <v>33374</v>
      </c>
      <c r="H27" s="8">
        <f t="shared" si="0"/>
        <v>69</v>
      </c>
    </row>
    <row r="28" spans="1:8" x14ac:dyDescent="0.3">
      <c r="A28" s="2"/>
      <c r="B28" s="11"/>
      <c r="C28" s="54"/>
      <c r="D28" s="54"/>
      <c r="E28" s="54">
        <f t="shared" si="1"/>
        <v>-135100</v>
      </c>
      <c r="F28" s="65">
        <v>44161</v>
      </c>
      <c r="G28" s="1">
        <v>33443</v>
      </c>
      <c r="H28" s="8">
        <f t="shared" si="0"/>
        <v>57</v>
      </c>
    </row>
    <row r="29" spans="1:8" x14ac:dyDescent="0.3">
      <c r="A29" s="2"/>
      <c r="B29" s="11"/>
      <c r="C29" s="54"/>
      <c r="D29" s="54"/>
      <c r="E29" s="54">
        <f t="shared" si="1"/>
        <v>-135100</v>
      </c>
      <c r="F29" s="65">
        <v>44162</v>
      </c>
      <c r="G29" s="1">
        <v>33500</v>
      </c>
      <c r="H29" s="8">
        <f t="shared" si="0"/>
        <v>82</v>
      </c>
    </row>
    <row r="30" spans="1:8" x14ac:dyDescent="0.3">
      <c r="A30" s="2"/>
      <c r="B30" s="11"/>
      <c r="C30" s="54"/>
      <c r="D30" s="54"/>
      <c r="E30" s="54">
        <f t="shared" si="1"/>
        <v>-135100</v>
      </c>
      <c r="F30" s="65">
        <v>44163</v>
      </c>
      <c r="G30" s="1">
        <v>33582</v>
      </c>
      <c r="H30" s="8">
        <f t="shared" si="0"/>
        <v>0</v>
      </c>
    </row>
    <row r="31" spans="1:8" x14ac:dyDescent="0.3">
      <c r="A31" s="2"/>
      <c r="B31" s="11"/>
      <c r="C31" s="54"/>
      <c r="D31" s="54"/>
      <c r="E31" s="54">
        <f t="shared" si="1"/>
        <v>-135100</v>
      </c>
      <c r="F31" s="65">
        <v>44164</v>
      </c>
      <c r="G31" s="1">
        <v>33582</v>
      </c>
      <c r="H31" s="8">
        <f t="shared" si="0"/>
        <v>333</v>
      </c>
    </row>
    <row r="32" spans="1:8" ht="15" thickBot="1" x14ac:dyDescent="0.35">
      <c r="A32" s="3"/>
      <c r="B32" s="12"/>
      <c r="C32" s="54"/>
      <c r="D32" s="54"/>
      <c r="E32" s="54">
        <f t="shared" si="1"/>
        <v>-135100</v>
      </c>
      <c r="F32" s="65">
        <v>44165</v>
      </c>
      <c r="G32" s="4">
        <v>33915</v>
      </c>
      <c r="H32" s="8">
        <f t="shared" si="0"/>
        <v>116</v>
      </c>
    </row>
    <row r="33" spans="3:8" x14ac:dyDescent="0.3">
      <c r="C33" s="54">
        <f>+SUM(C3:C32)</f>
        <v>1050000</v>
      </c>
      <c r="D33" s="54">
        <f>+SUM(D3:D32)</f>
        <v>1185100</v>
      </c>
      <c r="E33" s="54"/>
      <c r="F33" s="65"/>
      <c r="G33" s="16">
        <v>34031</v>
      </c>
      <c r="H33" s="16">
        <f>+'DIC-20'!G3-'NOV-20'!G33</f>
        <v>0</v>
      </c>
    </row>
    <row r="34" spans="3:8" x14ac:dyDescent="0.3">
      <c r="C34" s="100">
        <f>+C33-D33</f>
        <v>-135100</v>
      </c>
      <c r="D34" s="100"/>
      <c r="E34" s="54"/>
      <c r="G34" s="34" t="s">
        <v>14</v>
      </c>
      <c r="H34" s="34">
        <f>SUM(H3:H33)</f>
        <v>2540</v>
      </c>
    </row>
    <row r="35" spans="3:8" x14ac:dyDescent="0.3">
      <c r="C35" s="59"/>
      <c r="D35" s="59"/>
      <c r="E35" s="53"/>
      <c r="G35" s="34" t="s">
        <v>15</v>
      </c>
      <c r="H35" s="34">
        <f>AVERAGEIF(H3:H33,"&gt;0",H3:H33)</f>
        <v>90.714285714285708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opLeftCell="A2" workbookViewId="0">
      <selection activeCell="A2" sqref="A2:H39"/>
    </sheetView>
  </sheetViews>
  <sheetFormatPr baseColWidth="10" defaultRowHeight="14.4" x14ac:dyDescent="0.3"/>
  <cols>
    <col min="2" max="2" width="29.88671875" customWidth="1"/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2"/>
      <c r="E1" s="142"/>
      <c r="F1" s="142"/>
      <c r="G1" s="142"/>
      <c r="H1" s="142"/>
    </row>
    <row r="2" spans="1:8" ht="15" thickBot="1" x14ac:dyDescent="0.35">
      <c r="A2" s="107" t="s">
        <v>1</v>
      </c>
      <c r="B2" s="108" t="s">
        <v>2</v>
      </c>
      <c r="C2" s="111" t="s">
        <v>3</v>
      </c>
      <c r="D2" s="112" t="s">
        <v>4</v>
      </c>
      <c r="E2" s="113" t="s">
        <v>7</v>
      </c>
      <c r="F2" s="107" t="s">
        <v>95</v>
      </c>
      <c r="G2" s="108" t="s">
        <v>5</v>
      </c>
      <c r="H2" s="108" t="s">
        <v>6</v>
      </c>
    </row>
    <row r="3" spans="1:8" x14ac:dyDescent="0.3">
      <c r="A3" s="23">
        <v>44532</v>
      </c>
      <c r="B3" s="25"/>
      <c r="C3" s="47">
        <v>150000</v>
      </c>
      <c r="D3" s="47"/>
      <c r="E3" s="47">
        <f>+C3-D3</f>
        <v>150000</v>
      </c>
      <c r="F3" s="44">
        <v>44166</v>
      </c>
      <c r="G3" s="24">
        <v>34031</v>
      </c>
      <c r="H3" s="24">
        <f>G4-G3</f>
        <v>65</v>
      </c>
    </row>
    <row r="4" spans="1:8" x14ac:dyDescent="0.3">
      <c r="A4" s="23">
        <v>44532</v>
      </c>
      <c r="B4" s="28" t="s">
        <v>35</v>
      </c>
      <c r="C4" s="47"/>
      <c r="D4" s="47">
        <v>146105</v>
      </c>
      <c r="E4" s="47">
        <f>+E3+C4-D4</f>
        <v>3895</v>
      </c>
      <c r="F4" s="44">
        <v>44167</v>
      </c>
      <c r="G4" s="27">
        <v>34096</v>
      </c>
      <c r="H4" s="24">
        <f t="shared" ref="H4:H32" si="0">G5-G4</f>
        <v>101</v>
      </c>
    </row>
    <row r="5" spans="1:8" x14ac:dyDescent="0.3">
      <c r="A5" s="23">
        <v>44534</v>
      </c>
      <c r="B5" s="28" t="s">
        <v>37</v>
      </c>
      <c r="C5" s="47"/>
      <c r="D5" s="47">
        <v>3300</v>
      </c>
      <c r="E5" s="47">
        <f t="shared" ref="E5:E37" si="1">+E4+C5-D5</f>
        <v>595</v>
      </c>
      <c r="F5" s="44">
        <v>44168</v>
      </c>
      <c r="G5" s="27">
        <v>34197</v>
      </c>
      <c r="H5" s="24">
        <f t="shared" si="0"/>
        <v>85</v>
      </c>
    </row>
    <row r="6" spans="1:8" x14ac:dyDescent="0.3">
      <c r="A6" s="23">
        <v>44538</v>
      </c>
      <c r="B6" s="28"/>
      <c r="C6" s="47">
        <v>300000</v>
      </c>
      <c r="D6" s="47"/>
      <c r="E6" s="47">
        <f t="shared" si="1"/>
        <v>300595</v>
      </c>
      <c r="F6" s="44">
        <v>44169</v>
      </c>
      <c r="G6" s="27">
        <v>34282</v>
      </c>
      <c r="H6" s="24">
        <f t="shared" si="0"/>
        <v>38</v>
      </c>
    </row>
    <row r="7" spans="1:8" x14ac:dyDescent="0.3">
      <c r="A7" s="23">
        <v>44539</v>
      </c>
      <c r="B7" s="28" t="s">
        <v>35</v>
      </c>
      <c r="C7" s="47"/>
      <c r="D7" s="47">
        <v>53179</v>
      </c>
      <c r="E7" s="47">
        <f t="shared" si="1"/>
        <v>247416</v>
      </c>
      <c r="F7" s="44">
        <v>44170</v>
      </c>
      <c r="G7" s="27">
        <v>34320</v>
      </c>
      <c r="H7" s="24">
        <f t="shared" si="0"/>
        <v>30</v>
      </c>
    </row>
    <row r="8" spans="1:8" x14ac:dyDescent="0.3">
      <c r="A8" s="23">
        <v>44539</v>
      </c>
      <c r="B8" s="28" t="s">
        <v>49</v>
      </c>
      <c r="C8" s="47"/>
      <c r="D8" s="47">
        <f>12500+12600+12600+5000</f>
        <v>42700</v>
      </c>
      <c r="E8" s="47">
        <f t="shared" si="1"/>
        <v>204716</v>
      </c>
      <c r="F8" s="44">
        <v>44171</v>
      </c>
      <c r="G8" s="29">
        <v>34350</v>
      </c>
      <c r="H8" s="24">
        <f t="shared" si="0"/>
        <v>10</v>
      </c>
    </row>
    <row r="9" spans="1:8" x14ac:dyDescent="0.3">
      <c r="A9" s="23">
        <v>44540</v>
      </c>
      <c r="B9" s="28" t="s">
        <v>49</v>
      </c>
      <c r="C9" s="47"/>
      <c r="D9" s="47">
        <v>42700</v>
      </c>
      <c r="E9" s="47">
        <f t="shared" si="1"/>
        <v>162016</v>
      </c>
      <c r="F9" s="44">
        <v>44172</v>
      </c>
      <c r="G9" s="27">
        <v>34360</v>
      </c>
      <c r="H9" s="24">
        <f t="shared" si="0"/>
        <v>0</v>
      </c>
    </row>
    <row r="10" spans="1:8" x14ac:dyDescent="0.3">
      <c r="A10" s="23">
        <v>44540</v>
      </c>
      <c r="B10" s="28" t="s">
        <v>35</v>
      </c>
      <c r="C10" s="47"/>
      <c r="D10" s="47">
        <v>93132</v>
      </c>
      <c r="E10" s="47">
        <f t="shared" si="1"/>
        <v>68884</v>
      </c>
      <c r="F10" s="44">
        <v>44173</v>
      </c>
      <c r="G10" s="27">
        <v>34360</v>
      </c>
      <c r="H10" s="24">
        <f t="shared" si="0"/>
        <v>377</v>
      </c>
    </row>
    <row r="11" spans="1:8" x14ac:dyDescent="0.3">
      <c r="A11" s="23">
        <v>44541</v>
      </c>
      <c r="B11" s="28" t="s">
        <v>35</v>
      </c>
      <c r="C11" s="47"/>
      <c r="D11" s="47">
        <v>65391</v>
      </c>
      <c r="E11" s="47">
        <f t="shared" si="1"/>
        <v>3493</v>
      </c>
      <c r="F11" s="44">
        <v>44174</v>
      </c>
      <c r="G11" s="27">
        <v>34737</v>
      </c>
      <c r="H11" s="24">
        <f t="shared" si="0"/>
        <v>308</v>
      </c>
    </row>
    <row r="12" spans="1:8" x14ac:dyDescent="0.3">
      <c r="A12" s="23">
        <v>44541</v>
      </c>
      <c r="B12" s="28" t="s">
        <v>49</v>
      </c>
      <c r="C12" s="47"/>
      <c r="D12" s="47">
        <f>11100+8700+8800</f>
        <v>28600</v>
      </c>
      <c r="E12" s="47">
        <f t="shared" si="1"/>
        <v>-25107</v>
      </c>
      <c r="F12" s="44">
        <v>44175</v>
      </c>
      <c r="G12" s="27">
        <v>35045</v>
      </c>
      <c r="H12" s="24">
        <f t="shared" si="0"/>
        <v>236</v>
      </c>
    </row>
    <row r="13" spans="1:8" x14ac:dyDescent="0.3">
      <c r="A13" s="23">
        <v>44543</v>
      </c>
      <c r="B13" s="28" t="s">
        <v>49</v>
      </c>
      <c r="C13" s="47"/>
      <c r="D13" s="47">
        <f>8800+8800</f>
        <v>17600</v>
      </c>
      <c r="E13" s="47">
        <f t="shared" si="1"/>
        <v>-42707</v>
      </c>
      <c r="F13" s="44">
        <v>44176</v>
      </c>
      <c r="G13" s="27">
        <v>35281</v>
      </c>
      <c r="H13" s="24">
        <f t="shared" si="0"/>
        <v>60</v>
      </c>
    </row>
    <row r="14" spans="1:8" x14ac:dyDescent="0.3">
      <c r="A14" s="23">
        <v>44544</v>
      </c>
      <c r="B14" s="28" t="s">
        <v>49</v>
      </c>
      <c r="C14" s="47"/>
      <c r="D14" s="47">
        <f>8800+8800</f>
        <v>17600</v>
      </c>
      <c r="E14" s="47">
        <f t="shared" si="1"/>
        <v>-60307</v>
      </c>
      <c r="F14" s="44">
        <v>44177</v>
      </c>
      <c r="G14" s="27">
        <v>35341</v>
      </c>
      <c r="H14" s="24">
        <f t="shared" si="0"/>
        <v>257</v>
      </c>
    </row>
    <row r="15" spans="1:8" x14ac:dyDescent="0.3">
      <c r="A15" s="23">
        <v>44544</v>
      </c>
      <c r="B15" s="28" t="s">
        <v>50</v>
      </c>
      <c r="C15" s="47"/>
      <c r="D15" s="47">
        <v>80000</v>
      </c>
      <c r="E15" s="47">
        <f t="shared" si="1"/>
        <v>-140307</v>
      </c>
      <c r="F15" s="44">
        <v>44178</v>
      </c>
      <c r="G15" s="27">
        <v>35598</v>
      </c>
      <c r="H15" s="24">
        <f t="shared" si="0"/>
        <v>170</v>
      </c>
    </row>
    <row r="16" spans="1:8" x14ac:dyDescent="0.3">
      <c r="A16" s="23">
        <v>44545</v>
      </c>
      <c r="B16" s="28" t="s">
        <v>49</v>
      </c>
      <c r="C16" s="47"/>
      <c r="D16" s="47">
        <f>8800+8800</f>
        <v>17600</v>
      </c>
      <c r="E16" s="47">
        <f t="shared" si="1"/>
        <v>-157907</v>
      </c>
      <c r="F16" s="44">
        <v>44179</v>
      </c>
      <c r="G16" s="27">
        <v>35768</v>
      </c>
      <c r="H16" s="24">
        <f t="shared" si="0"/>
        <v>135</v>
      </c>
    </row>
    <row r="17" spans="1:8" x14ac:dyDescent="0.3">
      <c r="A17" s="23">
        <v>44543</v>
      </c>
      <c r="B17" s="28" t="s">
        <v>35</v>
      </c>
      <c r="C17" s="47"/>
      <c r="D17" s="47">
        <v>107395</v>
      </c>
      <c r="E17" s="47">
        <f t="shared" si="1"/>
        <v>-265302</v>
      </c>
      <c r="F17" s="44">
        <v>44180</v>
      </c>
      <c r="G17" s="27">
        <v>35903</v>
      </c>
      <c r="H17" s="24">
        <f t="shared" si="0"/>
        <v>129</v>
      </c>
    </row>
    <row r="18" spans="1:8" x14ac:dyDescent="0.3">
      <c r="A18" s="23">
        <v>44545</v>
      </c>
      <c r="B18" s="28" t="s">
        <v>49</v>
      </c>
      <c r="C18" s="47"/>
      <c r="D18" s="47">
        <f>8800+8800</f>
        <v>17600</v>
      </c>
      <c r="E18" s="47">
        <f t="shared" si="1"/>
        <v>-282902</v>
      </c>
      <c r="F18" s="44">
        <v>44181</v>
      </c>
      <c r="G18" s="27">
        <v>36032</v>
      </c>
      <c r="H18" s="24">
        <f t="shared" si="0"/>
        <v>136</v>
      </c>
    </row>
    <row r="19" spans="1:8" x14ac:dyDescent="0.3">
      <c r="A19" s="23">
        <v>44546</v>
      </c>
      <c r="B19" s="28" t="s">
        <v>49</v>
      </c>
      <c r="C19" s="47"/>
      <c r="D19" s="47">
        <f>8800+8800</f>
        <v>17600</v>
      </c>
      <c r="E19" s="47">
        <f t="shared" si="1"/>
        <v>-300502</v>
      </c>
      <c r="F19" s="44">
        <v>44182</v>
      </c>
      <c r="G19" s="27">
        <v>36168</v>
      </c>
      <c r="H19" s="24">
        <f t="shared" si="0"/>
        <v>137</v>
      </c>
    </row>
    <row r="20" spans="1:8" x14ac:dyDescent="0.3">
      <c r="A20" s="23">
        <v>44540</v>
      </c>
      <c r="B20" s="28"/>
      <c r="C20" s="47">
        <v>900000</v>
      </c>
      <c r="D20" s="47"/>
      <c r="E20" s="47">
        <f t="shared" si="1"/>
        <v>599498</v>
      </c>
      <c r="F20" s="44">
        <v>44183</v>
      </c>
      <c r="G20" s="27">
        <v>36305</v>
      </c>
      <c r="H20" s="24">
        <f t="shared" si="0"/>
        <v>28</v>
      </c>
    </row>
    <row r="21" spans="1:8" x14ac:dyDescent="0.3">
      <c r="A21" s="23">
        <v>44546</v>
      </c>
      <c r="B21" s="28"/>
      <c r="C21" s="47">
        <v>200000</v>
      </c>
      <c r="D21" s="47"/>
      <c r="E21" s="47">
        <f t="shared" si="1"/>
        <v>799498</v>
      </c>
      <c r="F21" s="44">
        <v>44184</v>
      </c>
      <c r="G21" s="27">
        <v>36333</v>
      </c>
      <c r="H21" s="24">
        <f t="shared" si="0"/>
        <v>231</v>
      </c>
    </row>
    <row r="22" spans="1:8" x14ac:dyDescent="0.3">
      <c r="A22" s="23">
        <v>44547</v>
      </c>
      <c r="B22" s="28" t="s">
        <v>49</v>
      </c>
      <c r="C22" s="47"/>
      <c r="D22" s="47">
        <f>8800+8800</f>
        <v>17600</v>
      </c>
      <c r="E22" s="47">
        <f t="shared" si="1"/>
        <v>781898</v>
      </c>
      <c r="F22" s="44">
        <v>44185</v>
      </c>
      <c r="G22" s="27">
        <v>36564</v>
      </c>
      <c r="H22" s="24">
        <f t="shared" si="0"/>
        <v>0</v>
      </c>
    </row>
    <row r="23" spans="1:8" x14ac:dyDescent="0.3">
      <c r="A23" s="23">
        <v>44547</v>
      </c>
      <c r="B23" s="28" t="s">
        <v>35</v>
      </c>
      <c r="C23" s="47"/>
      <c r="D23" s="47">
        <v>133022</v>
      </c>
      <c r="E23" s="47">
        <f t="shared" si="1"/>
        <v>648876</v>
      </c>
      <c r="F23" s="44">
        <v>44186</v>
      </c>
      <c r="G23" s="27">
        <v>36564</v>
      </c>
      <c r="H23" s="24">
        <f t="shared" si="0"/>
        <v>37</v>
      </c>
    </row>
    <row r="24" spans="1:8" x14ac:dyDescent="0.3">
      <c r="A24" s="23">
        <v>44548</v>
      </c>
      <c r="B24" s="28" t="s">
        <v>49</v>
      </c>
      <c r="C24" s="47"/>
      <c r="D24" s="47">
        <f>8800+8800</f>
        <v>17600</v>
      </c>
      <c r="E24" s="47">
        <f t="shared" si="1"/>
        <v>631276</v>
      </c>
      <c r="F24" s="44">
        <v>44187</v>
      </c>
      <c r="G24" s="27">
        <v>36601</v>
      </c>
      <c r="H24" s="24">
        <f t="shared" si="0"/>
        <v>33</v>
      </c>
    </row>
    <row r="25" spans="1:8" x14ac:dyDescent="0.3">
      <c r="A25" s="23">
        <v>44549</v>
      </c>
      <c r="B25" s="28" t="s">
        <v>49</v>
      </c>
      <c r="C25" s="47"/>
      <c r="D25" s="47">
        <f>8800+8800</f>
        <v>17600</v>
      </c>
      <c r="E25" s="47">
        <f t="shared" si="1"/>
        <v>613676</v>
      </c>
      <c r="F25" s="44">
        <v>44188</v>
      </c>
      <c r="G25" s="27">
        <v>36634</v>
      </c>
      <c r="H25" s="24">
        <f t="shared" si="0"/>
        <v>45</v>
      </c>
    </row>
    <row r="26" spans="1:8" x14ac:dyDescent="0.3">
      <c r="A26" s="23">
        <v>44550</v>
      </c>
      <c r="B26" s="28" t="s">
        <v>49</v>
      </c>
      <c r="C26" s="47"/>
      <c r="D26" s="47">
        <f>8800+8700+11100</f>
        <v>28600</v>
      </c>
      <c r="E26" s="47">
        <f t="shared" si="1"/>
        <v>585076</v>
      </c>
      <c r="F26" s="44">
        <v>44189</v>
      </c>
      <c r="G26" s="27">
        <v>36679</v>
      </c>
      <c r="H26" s="24">
        <f t="shared" si="0"/>
        <v>26</v>
      </c>
    </row>
    <row r="27" spans="1:8" x14ac:dyDescent="0.3">
      <c r="A27" s="23">
        <v>44550</v>
      </c>
      <c r="B27" s="28" t="s">
        <v>35</v>
      </c>
      <c r="C27" s="47"/>
      <c r="D27" s="47">
        <v>60000</v>
      </c>
      <c r="E27" s="47">
        <f t="shared" si="1"/>
        <v>525076</v>
      </c>
      <c r="F27" s="44">
        <v>44190</v>
      </c>
      <c r="G27" s="27">
        <v>36705</v>
      </c>
      <c r="H27" s="24">
        <f t="shared" si="0"/>
        <v>48</v>
      </c>
    </row>
    <row r="28" spans="1:8" x14ac:dyDescent="0.3">
      <c r="A28" s="23">
        <v>44551</v>
      </c>
      <c r="B28" s="28" t="s">
        <v>39</v>
      </c>
      <c r="C28" s="47"/>
      <c r="D28" s="47">
        <v>50000</v>
      </c>
      <c r="E28" s="47">
        <f t="shared" si="1"/>
        <v>475076</v>
      </c>
      <c r="F28" s="44">
        <v>44191</v>
      </c>
      <c r="G28" s="27">
        <v>36753</v>
      </c>
      <c r="H28" s="24">
        <f t="shared" si="0"/>
        <v>9</v>
      </c>
    </row>
    <row r="29" spans="1:8" x14ac:dyDescent="0.3">
      <c r="A29" s="23">
        <v>44535</v>
      </c>
      <c r="B29" s="28" t="s">
        <v>49</v>
      </c>
      <c r="C29" s="47"/>
      <c r="D29" s="47">
        <f>2700+2700</f>
        <v>5400</v>
      </c>
      <c r="E29" s="47">
        <f t="shared" si="1"/>
        <v>469676</v>
      </c>
      <c r="F29" s="44">
        <v>44192</v>
      </c>
      <c r="G29" s="27">
        <v>36762</v>
      </c>
      <c r="H29" s="24">
        <f t="shared" si="0"/>
        <v>0</v>
      </c>
    </row>
    <row r="30" spans="1:8" x14ac:dyDescent="0.3">
      <c r="A30" s="23">
        <v>44556</v>
      </c>
      <c r="B30" s="28" t="s">
        <v>49</v>
      </c>
      <c r="C30" s="47"/>
      <c r="D30" s="47">
        <f>2700+2700</f>
        <v>5400</v>
      </c>
      <c r="E30" s="47">
        <f t="shared" si="1"/>
        <v>464276</v>
      </c>
      <c r="F30" s="44">
        <v>44193</v>
      </c>
      <c r="G30" s="27">
        <v>36762</v>
      </c>
      <c r="H30" s="24">
        <f t="shared" si="0"/>
        <v>44</v>
      </c>
    </row>
    <row r="31" spans="1:8" x14ac:dyDescent="0.3">
      <c r="A31" s="23">
        <v>44558</v>
      </c>
      <c r="B31" s="28" t="s">
        <v>35</v>
      </c>
      <c r="C31" s="47"/>
      <c r="D31" s="47">
        <v>80000</v>
      </c>
      <c r="E31" s="47">
        <f t="shared" si="1"/>
        <v>384276</v>
      </c>
      <c r="F31" s="44">
        <v>44194</v>
      </c>
      <c r="G31" s="27">
        <v>36806</v>
      </c>
      <c r="H31" s="24">
        <f t="shared" si="0"/>
        <v>92</v>
      </c>
    </row>
    <row r="32" spans="1:8" ht="15" thickBot="1" x14ac:dyDescent="0.35">
      <c r="A32" s="66">
        <v>44558</v>
      </c>
      <c r="B32" s="67" t="s">
        <v>51</v>
      </c>
      <c r="C32" s="68"/>
      <c r="D32" s="68">
        <v>22000</v>
      </c>
      <c r="E32" s="68">
        <f t="shared" si="1"/>
        <v>362276</v>
      </c>
      <c r="F32" s="44">
        <v>44195</v>
      </c>
      <c r="G32" s="32">
        <v>36898</v>
      </c>
      <c r="H32" s="24">
        <f t="shared" si="0"/>
        <v>95</v>
      </c>
    </row>
    <row r="33" spans="1:8" x14ac:dyDescent="0.3">
      <c r="A33" s="69">
        <v>44559</v>
      </c>
      <c r="B33" s="27" t="s">
        <v>49</v>
      </c>
      <c r="C33" s="47"/>
      <c r="D33" s="47">
        <f>2700+2700</f>
        <v>5400</v>
      </c>
      <c r="E33" s="47">
        <f t="shared" si="1"/>
        <v>356876</v>
      </c>
      <c r="F33" s="44">
        <v>44196</v>
      </c>
      <c r="G33" s="33">
        <v>36993</v>
      </c>
      <c r="H33" s="24">
        <f>+'ENE-21'!G3-'DIC-20'!G33</f>
        <v>16</v>
      </c>
    </row>
    <row r="34" spans="1:8" x14ac:dyDescent="0.3">
      <c r="A34" s="70">
        <v>44560</v>
      </c>
      <c r="B34" s="71" t="s">
        <v>49</v>
      </c>
      <c r="C34" s="1"/>
      <c r="D34" s="47">
        <f>2700+2700</f>
        <v>5400</v>
      </c>
      <c r="E34" s="47">
        <f t="shared" si="1"/>
        <v>351476</v>
      </c>
      <c r="G34" s="33"/>
    </row>
    <row r="35" spans="1:8" x14ac:dyDescent="0.3">
      <c r="A35" s="1"/>
      <c r="B35" s="71" t="s">
        <v>52</v>
      </c>
      <c r="C35" s="1"/>
      <c r="D35" s="47">
        <f>10*75000</f>
        <v>750000</v>
      </c>
      <c r="E35" s="47">
        <f t="shared" si="1"/>
        <v>-398524</v>
      </c>
      <c r="G35" s="34" t="s">
        <v>14</v>
      </c>
      <c r="H35" s="35">
        <f>SUM(H3:H33)</f>
        <v>2978</v>
      </c>
    </row>
    <row r="36" spans="1:8" x14ac:dyDescent="0.3">
      <c r="A36" s="70">
        <v>44561</v>
      </c>
      <c r="B36" s="1"/>
      <c r="C36" s="47">
        <v>236000</v>
      </c>
      <c r="D36" s="47"/>
      <c r="E36" s="47">
        <f t="shared" si="1"/>
        <v>-162524</v>
      </c>
      <c r="G36" s="34" t="s">
        <v>15</v>
      </c>
      <c r="H36" s="34">
        <f>AVERAGEIF(H3:H33,"&gt;0",H3:H33)</f>
        <v>106.35714285714286</v>
      </c>
    </row>
    <row r="37" spans="1:8" x14ac:dyDescent="0.3">
      <c r="A37" s="70">
        <v>44549</v>
      </c>
      <c r="B37" s="1"/>
      <c r="C37" s="47">
        <v>350000</v>
      </c>
      <c r="D37" s="47"/>
      <c r="E37" s="47">
        <f t="shared" si="1"/>
        <v>187476</v>
      </c>
    </row>
    <row r="38" spans="1:8" x14ac:dyDescent="0.3">
      <c r="A38" s="1"/>
      <c r="B38" s="1"/>
      <c r="C38" s="72">
        <f>+SUM(C3:C37)</f>
        <v>2136000</v>
      </c>
      <c r="D38" s="72">
        <f>+SUM(D3:D37)</f>
        <v>1948524</v>
      </c>
      <c r="E38" s="1"/>
    </row>
    <row r="39" spans="1:8" x14ac:dyDescent="0.3">
      <c r="C39" s="101">
        <f>+C38-D38</f>
        <v>187476</v>
      </c>
      <c r="D39" s="102"/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5"/>
  <sheetViews>
    <sheetView topLeftCell="A2" workbookViewId="0">
      <selection activeCell="A2" sqref="A2:H35"/>
    </sheetView>
  </sheetViews>
  <sheetFormatPr baseColWidth="10" defaultRowHeight="14.4" x14ac:dyDescent="0.3"/>
  <cols>
    <col min="1" max="1" width="9.5546875" customWidth="1"/>
    <col min="2" max="2" width="25.6640625" bestFit="1" customWidth="1"/>
    <col min="3" max="3" width="10.109375" customWidth="1"/>
    <col min="4" max="4" width="9.88671875" bestFit="1" customWidth="1"/>
    <col min="5" max="5" width="11.6640625" customWidth="1"/>
    <col min="7" max="7" width="12.5546875" customWidth="1"/>
    <col min="11" max="11" width="11.88671875" bestFit="1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44198</v>
      </c>
      <c r="B3" s="24"/>
      <c r="C3" s="46">
        <v>200000</v>
      </c>
      <c r="D3" s="47"/>
      <c r="E3" s="47">
        <f>C3</f>
        <v>200000</v>
      </c>
      <c r="F3" s="44">
        <v>44197</v>
      </c>
      <c r="G3" s="24">
        <v>37009</v>
      </c>
      <c r="H3" s="25">
        <f>+G4-G3</f>
        <v>0</v>
      </c>
    </row>
    <row r="4" spans="1:8" x14ac:dyDescent="0.3">
      <c r="A4" s="23">
        <v>44198</v>
      </c>
      <c r="B4" s="27" t="s">
        <v>20</v>
      </c>
      <c r="C4" s="47"/>
      <c r="D4" s="47">
        <v>100000</v>
      </c>
      <c r="E4" s="47">
        <f>E3+C4-D4</f>
        <v>100000</v>
      </c>
      <c r="F4" s="44">
        <v>44198</v>
      </c>
      <c r="G4" s="27">
        <v>37009</v>
      </c>
      <c r="H4" s="25">
        <f t="shared" ref="H4:H32" si="0">+G5-G4</f>
        <v>139</v>
      </c>
    </row>
    <row r="5" spans="1:8" x14ac:dyDescent="0.3">
      <c r="A5" s="23">
        <v>44200</v>
      </c>
      <c r="B5" s="27" t="s">
        <v>21</v>
      </c>
      <c r="C5" s="47"/>
      <c r="D5" s="47">
        <v>2700</v>
      </c>
      <c r="E5" s="47">
        <f t="shared" ref="E5:E32" si="1">E4+C5-D5</f>
        <v>97300</v>
      </c>
      <c r="F5" s="44">
        <v>44199</v>
      </c>
      <c r="G5" s="27">
        <v>37148</v>
      </c>
      <c r="H5" s="25">
        <f t="shared" si="0"/>
        <v>110</v>
      </c>
    </row>
    <row r="6" spans="1:8" x14ac:dyDescent="0.3">
      <c r="A6" s="23">
        <v>44200</v>
      </c>
      <c r="B6" s="27" t="s">
        <v>21</v>
      </c>
      <c r="C6" s="47"/>
      <c r="D6" s="47">
        <v>2700</v>
      </c>
      <c r="E6" s="47">
        <f t="shared" si="1"/>
        <v>94600</v>
      </c>
      <c r="F6" s="44">
        <v>44200</v>
      </c>
      <c r="G6" s="27">
        <v>37258</v>
      </c>
      <c r="H6" s="25">
        <f t="shared" si="0"/>
        <v>78</v>
      </c>
    </row>
    <row r="7" spans="1:8" x14ac:dyDescent="0.3">
      <c r="A7" s="23">
        <v>44201</v>
      </c>
      <c r="B7" s="27" t="s">
        <v>22</v>
      </c>
      <c r="C7" s="47"/>
      <c r="D7" s="47">
        <v>3300</v>
      </c>
      <c r="E7" s="47">
        <f t="shared" si="1"/>
        <v>91300</v>
      </c>
      <c r="F7" s="44">
        <v>44201</v>
      </c>
      <c r="G7" s="27">
        <v>37336</v>
      </c>
      <c r="H7" s="25">
        <f t="shared" si="0"/>
        <v>84</v>
      </c>
    </row>
    <row r="8" spans="1:8" x14ac:dyDescent="0.3">
      <c r="A8" s="23">
        <v>44201</v>
      </c>
      <c r="B8" s="27"/>
      <c r="C8" s="47">
        <v>200000</v>
      </c>
      <c r="D8" s="47"/>
      <c r="E8" s="47">
        <f t="shared" si="1"/>
        <v>291300</v>
      </c>
      <c r="F8" s="44">
        <v>44202</v>
      </c>
      <c r="G8" s="29">
        <v>37420</v>
      </c>
      <c r="H8" s="25">
        <f t="shared" si="0"/>
        <v>78</v>
      </c>
    </row>
    <row r="9" spans="1:8" x14ac:dyDescent="0.3">
      <c r="A9" s="23">
        <v>44202</v>
      </c>
      <c r="B9" s="27" t="s">
        <v>23</v>
      </c>
      <c r="C9" s="47"/>
      <c r="D9" s="47">
        <v>120000</v>
      </c>
      <c r="E9" s="47">
        <f t="shared" si="1"/>
        <v>171300</v>
      </c>
      <c r="F9" s="44">
        <v>44203</v>
      </c>
      <c r="G9" s="27">
        <v>37498</v>
      </c>
      <c r="H9" s="25">
        <f t="shared" si="0"/>
        <v>66</v>
      </c>
    </row>
    <row r="10" spans="1:8" x14ac:dyDescent="0.3">
      <c r="A10" s="23">
        <v>44202</v>
      </c>
      <c r="B10" s="27" t="s">
        <v>25</v>
      </c>
      <c r="C10" s="47"/>
      <c r="D10" s="47">
        <v>9800</v>
      </c>
      <c r="E10" s="47">
        <f t="shared" si="1"/>
        <v>161500</v>
      </c>
      <c r="F10" s="44">
        <v>44204</v>
      </c>
      <c r="G10" s="27">
        <v>37564</v>
      </c>
      <c r="H10" s="25">
        <f t="shared" si="0"/>
        <v>48</v>
      </c>
    </row>
    <row r="11" spans="1:8" x14ac:dyDescent="0.3">
      <c r="A11" s="23">
        <v>44204</v>
      </c>
      <c r="B11" s="27" t="s">
        <v>26</v>
      </c>
      <c r="C11" s="47"/>
      <c r="D11" s="47">
        <v>11800</v>
      </c>
      <c r="E11" s="47">
        <f t="shared" si="1"/>
        <v>149700</v>
      </c>
      <c r="F11" s="44">
        <v>44205</v>
      </c>
      <c r="G11" s="27">
        <v>37612</v>
      </c>
      <c r="H11" s="25">
        <f t="shared" si="0"/>
        <v>0</v>
      </c>
    </row>
    <row r="12" spans="1:8" x14ac:dyDescent="0.3">
      <c r="A12" s="23">
        <v>44204</v>
      </c>
      <c r="B12" s="27" t="s">
        <v>27</v>
      </c>
      <c r="C12" s="47"/>
      <c r="D12" s="47">
        <v>2500</v>
      </c>
      <c r="E12" s="47">
        <f t="shared" si="1"/>
        <v>147200</v>
      </c>
      <c r="F12" s="44">
        <v>44206</v>
      </c>
      <c r="G12" s="27">
        <v>37612</v>
      </c>
      <c r="H12" s="25">
        <f t="shared" si="0"/>
        <v>0</v>
      </c>
    </row>
    <row r="13" spans="1:8" x14ac:dyDescent="0.3">
      <c r="A13" s="23">
        <v>44204</v>
      </c>
      <c r="B13" s="27" t="s">
        <v>28</v>
      </c>
      <c r="C13" s="47"/>
      <c r="D13" s="47">
        <v>70000</v>
      </c>
      <c r="E13" s="47">
        <f t="shared" si="1"/>
        <v>77200</v>
      </c>
      <c r="F13" s="44">
        <v>44207</v>
      </c>
      <c r="G13" s="27">
        <v>37612</v>
      </c>
      <c r="H13" s="25">
        <f t="shared" si="0"/>
        <v>0</v>
      </c>
    </row>
    <row r="14" spans="1:8" x14ac:dyDescent="0.3">
      <c r="A14" s="23">
        <v>44208</v>
      </c>
      <c r="B14" s="27"/>
      <c r="C14" s="47">
        <v>700000</v>
      </c>
      <c r="D14" s="47"/>
      <c r="E14" s="47">
        <f t="shared" si="1"/>
        <v>777200</v>
      </c>
      <c r="F14" s="44">
        <v>44208</v>
      </c>
      <c r="G14" s="27">
        <v>37612</v>
      </c>
      <c r="H14" s="25">
        <f t="shared" si="0"/>
        <v>28</v>
      </c>
    </row>
    <row r="15" spans="1:8" x14ac:dyDescent="0.3">
      <c r="A15" s="23">
        <v>44208</v>
      </c>
      <c r="B15" s="27" t="s">
        <v>30</v>
      </c>
      <c r="C15" s="47"/>
      <c r="D15" s="47">
        <v>660000</v>
      </c>
      <c r="E15" s="47">
        <f t="shared" si="1"/>
        <v>117200</v>
      </c>
      <c r="F15" s="44">
        <v>44209</v>
      </c>
      <c r="G15" s="27">
        <v>37640</v>
      </c>
      <c r="H15" s="25">
        <f t="shared" si="0"/>
        <v>24</v>
      </c>
    </row>
    <row r="16" spans="1:8" x14ac:dyDescent="0.3">
      <c r="A16" s="23">
        <v>44210</v>
      </c>
      <c r="B16" s="27" t="s">
        <v>21</v>
      </c>
      <c r="C16" s="47"/>
      <c r="D16" s="47">
        <v>2700</v>
      </c>
      <c r="E16" s="47">
        <f t="shared" si="1"/>
        <v>114500</v>
      </c>
      <c r="F16" s="44">
        <v>44210</v>
      </c>
      <c r="G16" s="27">
        <v>37664</v>
      </c>
      <c r="H16" s="25">
        <f t="shared" si="0"/>
        <v>97</v>
      </c>
    </row>
    <row r="17" spans="1:8" x14ac:dyDescent="0.3">
      <c r="A17" s="23">
        <v>44210</v>
      </c>
      <c r="B17" s="27" t="s">
        <v>21</v>
      </c>
      <c r="C17" s="47"/>
      <c r="D17" s="47">
        <v>2700</v>
      </c>
      <c r="E17" s="47">
        <f t="shared" si="1"/>
        <v>111800</v>
      </c>
      <c r="F17" s="44">
        <v>44211</v>
      </c>
      <c r="G17" s="27">
        <v>37761</v>
      </c>
      <c r="H17" s="25">
        <f t="shared" si="0"/>
        <v>78</v>
      </c>
    </row>
    <row r="18" spans="1:8" x14ac:dyDescent="0.3">
      <c r="A18" s="23">
        <v>44211</v>
      </c>
      <c r="B18" s="27" t="s">
        <v>21</v>
      </c>
      <c r="C18" s="47"/>
      <c r="D18" s="47">
        <v>2700</v>
      </c>
      <c r="E18" s="47">
        <f t="shared" si="1"/>
        <v>109100</v>
      </c>
      <c r="F18" s="44">
        <v>44212</v>
      </c>
      <c r="G18" s="27">
        <v>37839</v>
      </c>
      <c r="H18" s="25">
        <f t="shared" si="0"/>
        <v>50</v>
      </c>
    </row>
    <row r="19" spans="1:8" x14ac:dyDescent="0.3">
      <c r="A19" s="23">
        <v>44211</v>
      </c>
      <c r="B19" s="27" t="s">
        <v>21</v>
      </c>
      <c r="C19" s="47"/>
      <c r="D19" s="47">
        <v>2700</v>
      </c>
      <c r="E19" s="47">
        <f t="shared" si="1"/>
        <v>106400</v>
      </c>
      <c r="F19" s="44">
        <v>44213</v>
      </c>
      <c r="G19" s="27">
        <v>37889</v>
      </c>
      <c r="H19" s="25">
        <f t="shared" si="0"/>
        <v>0</v>
      </c>
    </row>
    <row r="20" spans="1:8" x14ac:dyDescent="0.3">
      <c r="A20" s="23">
        <v>44214</v>
      </c>
      <c r="B20" s="27" t="s">
        <v>53</v>
      </c>
      <c r="C20" s="47"/>
      <c r="D20" s="47">
        <v>50000</v>
      </c>
      <c r="E20" s="47">
        <f t="shared" si="1"/>
        <v>56400</v>
      </c>
      <c r="F20" s="44">
        <v>44214</v>
      </c>
      <c r="G20" s="27">
        <v>37889</v>
      </c>
      <c r="H20" s="25">
        <f t="shared" si="0"/>
        <v>19</v>
      </c>
    </row>
    <row r="21" spans="1:8" x14ac:dyDescent="0.3">
      <c r="A21" s="23">
        <v>44215</v>
      </c>
      <c r="B21" s="27" t="s">
        <v>22</v>
      </c>
      <c r="C21" s="47"/>
      <c r="D21" s="47">
        <v>3300</v>
      </c>
      <c r="E21" s="47">
        <f t="shared" si="1"/>
        <v>53100</v>
      </c>
      <c r="F21" s="44">
        <v>44215</v>
      </c>
      <c r="G21" s="27">
        <v>37908</v>
      </c>
      <c r="H21" s="25">
        <f t="shared" si="0"/>
        <v>36</v>
      </c>
    </row>
    <row r="22" spans="1:8" x14ac:dyDescent="0.3">
      <c r="A22" s="23">
        <v>44216</v>
      </c>
      <c r="B22" s="27"/>
      <c r="C22" s="47">
        <v>150000</v>
      </c>
      <c r="D22" s="47"/>
      <c r="E22" s="47">
        <f t="shared" si="1"/>
        <v>203100</v>
      </c>
      <c r="F22" s="44">
        <v>44216</v>
      </c>
      <c r="G22" s="27">
        <v>37944</v>
      </c>
      <c r="H22" s="25">
        <f t="shared" si="0"/>
        <v>96</v>
      </c>
    </row>
    <row r="23" spans="1:8" x14ac:dyDescent="0.3">
      <c r="A23" s="23">
        <v>44217</v>
      </c>
      <c r="B23" s="27" t="s">
        <v>57</v>
      </c>
      <c r="C23" s="47"/>
      <c r="D23" s="47">
        <v>120000</v>
      </c>
      <c r="E23" s="47">
        <f t="shared" si="1"/>
        <v>83100</v>
      </c>
      <c r="F23" s="44">
        <v>44217</v>
      </c>
      <c r="G23" s="27">
        <v>38040</v>
      </c>
      <c r="H23" s="25">
        <f t="shared" si="0"/>
        <v>107</v>
      </c>
    </row>
    <row r="24" spans="1:8" x14ac:dyDescent="0.3">
      <c r="A24" s="23">
        <v>44221</v>
      </c>
      <c r="B24" s="27"/>
      <c r="C24" s="47">
        <v>150000</v>
      </c>
      <c r="D24" s="47"/>
      <c r="E24" s="47">
        <f t="shared" si="1"/>
        <v>233100</v>
      </c>
      <c r="F24" s="44">
        <v>44218</v>
      </c>
      <c r="G24" s="27">
        <v>38147</v>
      </c>
      <c r="H24" s="25">
        <f t="shared" si="0"/>
        <v>103</v>
      </c>
    </row>
    <row r="25" spans="1:8" x14ac:dyDescent="0.3">
      <c r="A25" s="23">
        <v>44221</v>
      </c>
      <c r="B25" s="27" t="s">
        <v>60</v>
      </c>
      <c r="C25" s="47"/>
      <c r="D25" s="47">
        <v>140000</v>
      </c>
      <c r="E25" s="47">
        <f t="shared" si="1"/>
        <v>93100</v>
      </c>
      <c r="F25" s="44">
        <v>44219</v>
      </c>
      <c r="G25" s="27">
        <v>38250</v>
      </c>
      <c r="H25" s="25">
        <f t="shared" si="0"/>
        <v>179</v>
      </c>
    </row>
    <row r="26" spans="1:8" x14ac:dyDescent="0.3">
      <c r="A26" s="23">
        <v>44220</v>
      </c>
      <c r="B26" s="27" t="s">
        <v>39</v>
      </c>
      <c r="C26" s="47"/>
      <c r="D26" s="47">
        <v>45000</v>
      </c>
      <c r="E26" s="47">
        <f t="shared" si="1"/>
        <v>48100</v>
      </c>
      <c r="F26" s="44">
        <v>44220</v>
      </c>
      <c r="G26" s="27">
        <v>38429</v>
      </c>
      <c r="H26" s="25">
        <f t="shared" si="0"/>
        <v>178</v>
      </c>
    </row>
    <row r="27" spans="1:8" x14ac:dyDescent="0.3">
      <c r="A27" s="23">
        <v>44227</v>
      </c>
      <c r="B27" s="27"/>
      <c r="C27" s="47">
        <v>150000</v>
      </c>
      <c r="D27" s="47"/>
      <c r="E27" s="47">
        <f t="shared" si="1"/>
        <v>198100</v>
      </c>
      <c r="F27" s="44">
        <v>44221</v>
      </c>
      <c r="G27" s="27">
        <v>38607</v>
      </c>
      <c r="H27" s="25">
        <f t="shared" si="0"/>
        <v>128</v>
      </c>
    </row>
    <row r="28" spans="1:8" x14ac:dyDescent="0.3">
      <c r="A28" s="23">
        <v>44227</v>
      </c>
      <c r="B28" s="27" t="s">
        <v>61</v>
      </c>
      <c r="C28" s="47"/>
      <c r="D28" s="47">
        <v>137481</v>
      </c>
      <c r="E28" s="47">
        <f t="shared" si="1"/>
        <v>60619</v>
      </c>
      <c r="F28" s="44">
        <v>44222</v>
      </c>
      <c r="G28" s="27">
        <v>38735</v>
      </c>
      <c r="H28" s="25">
        <f t="shared" si="0"/>
        <v>92</v>
      </c>
    </row>
    <row r="29" spans="1:8" x14ac:dyDescent="0.3">
      <c r="A29" s="23">
        <v>44227</v>
      </c>
      <c r="B29" s="27" t="s">
        <v>41</v>
      </c>
      <c r="C29" s="47"/>
      <c r="D29" s="47">
        <v>20000</v>
      </c>
      <c r="E29" s="47">
        <f t="shared" si="1"/>
        <v>40619</v>
      </c>
      <c r="F29" s="44">
        <v>44223</v>
      </c>
      <c r="G29" s="27">
        <v>38827</v>
      </c>
      <c r="H29" s="25">
        <f t="shared" si="0"/>
        <v>96</v>
      </c>
    </row>
    <row r="30" spans="1:8" x14ac:dyDescent="0.3">
      <c r="A30" s="30"/>
      <c r="B30" s="27"/>
      <c r="C30" s="47"/>
      <c r="D30" s="47"/>
      <c r="E30" s="47">
        <f t="shared" si="1"/>
        <v>40619</v>
      </c>
      <c r="F30" s="44">
        <v>44224</v>
      </c>
      <c r="G30" s="27">
        <v>38923</v>
      </c>
      <c r="H30" s="25">
        <f t="shared" si="0"/>
        <v>104</v>
      </c>
    </row>
    <row r="31" spans="1:8" x14ac:dyDescent="0.3">
      <c r="A31" s="30"/>
      <c r="B31" s="27"/>
      <c r="C31" s="47"/>
      <c r="D31" s="47"/>
      <c r="E31" s="47">
        <f t="shared" si="1"/>
        <v>40619</v>
      </c>
      <c r="F31" s="44">
        <v>44225</v>
      </c>
      <c r="G31" s="27">
        <v>39027</v>
      </c>
      <c r="H31" s="25">
        <f t="shared" si="0"/>
        <v>87</v>
      </c>
    </row>
    <row r="32" spans="1:8" ht="15" thickBot="1" x14ac:dyDescent="0.35">
      <c r="A32" s="31"/>
      <c r="B32" s="32"/>
      <c r="C32" s="48"/>
      <c r="D32" s="47"/>
      <c r="E32" s="47">
        <f t="shared" si="1"/>
        <v>40619</v>
      </c>
      <c r="F32" s="44">
        <v>44226</v>
      </c>
      <c r="G32" s="32">
        <v>39114</v>
      </c>
      <c r="H32" s="25">
        <f t="shared" si="0"/>
        <v>0</v>
      </c>
    </row>
    <row r="33" spans="1:8" x14ac:dyDescent="0.3">
      <c r="A33" s="33"/>
      <c r="B33" s="33" t="s">
        <v>14</v>
      </c>
      <c r="C33" s="49">
        <f>SUM(C3:C32)</f>
        <v>1550000</v>
      </c>
      <c r="D33" s="49">
        <f>SUM(D3:D32)</f>
        <v>1509381</v>
      </c>
      <c r="E33" s="49"/>
      <c r="F33" s="26">
        <v>44227</v>
      </c>
      <c r="G33" s="33">
        <v>39114</v>
      </c>
      <c r="H33" s="25">
        <f>+'FEB-21'!G3-'ENE-21'!G33</f>
        <v>57</v>
      </c>
    </row>
    <row r="34" spans="1:8" x14ac:dyDescent="0.3">
      <c r="B34" t="s">
        <v>7</v>
      </c>
      <c r="C34" s="103">
        <f>C33-D33</f>
        <v>40619</v>
      </c>
      <c r="D34" s="104"/>
      <c r="G34" t="s">
        <v>6</v>
      </c>
      <c r="H34" s="25">
        <f>SUMIFS(H3:H33,H3:H33,"&gt;=0")</f>
        <v>2162</v>
      </c>
    </row>
    <row r="35" spans="1:8" x14ac:dyDescent="0.3">
      <c r="G35" t="s">
        <v>24</v>
      </c>
      <c r="H35" s="25">
        <f>AVERAGEIF(H3:H32,"&gt;0",H3:H32)</f>
        <v>87.708333333333329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6"/>
  <sheetViews>
    <sheetView topLeftCell="A31" workbookViewId="0">
      <selection activeCell="A2" sqref="A2:H56"/>
    </sheetView>
  </sheetViews>
  <sheetFormatPr baseColWidth="10" defaultRowHeight="14.4" x14ac:dyDescent="0.3"/>
  <cols>
    <col min="1" max="1" width="10.33203125" bestFit="1" customWidth="1"/>
    <col min="2" max="2" width="15.5546875" bestFit="1" customWidth="1"/>
    <col min="3" max="3" width="12.5546875" bestFit="1" customWidth="1"/>
    <col min="4" max="4" width="10.6640625" bestFit="1" customWidth="1"/>
    <col min="5" max="5" width="10.44140625" bestFit="1" customWidth="1"/>
    <col min="6" max="6" width="11.109375" bestFit="1" customWidth="1"/>
    <col min="7" max="7" width="15" bestFit="1" customWidth="1"/>
    <col min="8" max="8" width="13" bestFit="1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4" t="s">
        <v>6</v>
      </c>
    </row>
    <row r="3" spans="1:8" x14ac:dyDescent="0.3">
      <c r="A3" s="23">
        <v>44228</v>
      </c>
      <c r="B3" s="24" t="s">
        <v>37</v>
      </c>
      <c r="C3" s="46">
        <f>'ENE-21'!C34:D34</f>
        <v>40619</v>
      </c>
      <c r="D3" s="47">
        <v>3300</v>
      </c>
      <c r="E3" s="47">
        <f>+C3-D3</f>
        <v>37319</v>
      </c>
      <c r="F3" s="44">
        <v>44228</v>
      </c>
      <c r="G3" s="24">
        <v>39171</v>
      </c>
      <c r="H3" s="24">
        <f>+G4-G3</f>
        <v>172</v>
      </c>
    </row>
    <row r="4" spans="1:8" x14ac:dyDescent="0.3">
      <c r="A4" s="23">
        <v>44228</v>
      </c>
      <c r="B4" s="27" t="s">
        <v>49</v>
      </c>
      <c r="C4" s="47"/>
      <c r="D4" s="47">
        <v>12600</v>
      </c>
      <c r="E4" s="47">
        <f>E3+C4-D4</f>
        <v>24719</v>
      </c>
      <c r="F4" s="44">
        <v>44229</v>
      </c>
      <c r="G4" s="27">
        <v>39343</v>
      </c>
      <c r="H4" s="24">
        <f t="shared" ref="H4:H31" si="0">+G5-G4</f>
        <v>226</v>
      </c>
    </row>
    <row r="5" spans="1:8" x14ac:dyDescent="0.3">
      <c r="A5" s="23">
        <v>44228</v>
      </c>
      <c r="B5" s="27" t="s">
        <v>49</v>
      </c>
      <c r="C5" s="47"/>
      <c r="D5" s="47">
        <v>12800</v>
      </c>
      <c r="E5" s="47">
        <f t="shared" ref="E5:E51" si="1">E4+C5-D5</f>
        <v>11919</v>
      </c>
      <c r="F5" s="44">
        <v>44230</v>
      </c>
      <c r="G5" s="27">
        <v>39569</v>
      </c>
      <c r="H5" s="24">
        <f t="shared" si="0"/>
        <v>84</v>
      </c>
    </row>
    <row r="6" spans="1:8" x14ac:dyDescent="0.3">
      <c r="A6" s="23">
        <v>44228</v>
      </c>
      <c r="B6" s="27" t="s">
        <v>49</v>
      </c>
      <c r="C6" s="47"/>
      <c r="D6" s="47">
        <v>12600</v>
      </c>
      <c r="E6" s="47">
        <f t="shared" si="1"/>
        <v>-681</v>
      </c>
      <c r="F6" s="44">
        <v>44231</v>
      </c>
      <c r="G6" s="27">
        <v>39653</v>
      </c>
      <c r="H6" s="24">
        <f t="shared" si="0"/>
        <v>72</v>
      </c>
    </row>
    <row r="7" spans="1:8" x14ac:dyDescent="0.3">
      <c r="A7" s="23">
        <v>44228</v>
      </c>
      <c r="B7" s="27" t="s">
        <v>49</v>
      </c>
      <c r="C7" s="47"/>
      <c r="D7" s="47">
        <v>12800</v>
      </c>
      <c r="E7" s="47">
        <f t="shared" si="1"/>
        <v>-13481</v>
      </c>
      <c r="F7" s="44">
        <v>44232</v>
      </c>
      <c r="G7" s="27">
        <v>39725</v>
      </c>
      <c r="H7" s="24">
        <f t="shared" si="0"/>
        <v>84</v>
      </c>
    </row>
    <row r="8" spans="1:8" x14ac:dyDescent="0.3">
      <c r="A8" s="23">
        <v>44228</v>
      </c>
      <c r="B8" s="27"/>
      <c r="C8" s="47"/>
      <c r="D8" s="47"/>
      <c r="E8" s="47">
        <f t="shared" si="1"/>
        <v>-13481</v>
      </c>
      <c r="F8" s="44">
        <v>44233</v>
      </c>
      <c r="G8" s="29">
        <v>39809</v>
      </c>
      <c r="H8" s="24">
        <f t="shared" si="0"/>
        <v>54</v>
      </c>
    </row>
    <row r="9" spans="1:8" x14ac:dyDescent="0.3">
      <c r="A9" s="23">
        <v>44229</v>
      </c>
      <c r="B9" s="27"/>
      <c r="C9" s="47">
        <v>50000</v>
      </c>
      <c r="D9" s="47"/>
      <c r="E9" s="47">
        <f t="shared" si="1"/>
        <v>36519</v>
      </c>
      <c r="F9" s="44">
        <v>44234</v>
      </c>
      <c r="G9" s="27">
        <v>39863</v>
      </c>
      <c r="H9" s="24">
        <f t="shared" si="0"/>
        <v>563</v>
      </c>
    </row>
    <row r="10" spans="1:8" x14ac:dyDescent="0.3">
      <c r="A10" s="23">
        <v>44229</v>
      </c>
      <c r="B10" s="27" t="s">
        <v>49</v>
      </c>
      <c r="C10" s="47"/>
      <c r="D10" s="47">
        <v>12600</v>
      </c>
      <c r="E10" s="47">
        <f t="shared" si="1"/>
        <v>23919</v>
      </c>
      <c r="F10" s="44">
        <v>44235</v>
      </c>
      <c r="G10" s="27">
        <v>40426</v>
      </c>
      <c r="H10" s="24">
        <f t="shared" si="0"/>
        <v>174</v>
      </c>
    </row>
    <row r="11" spans="1:8" x14ac:dyDescent="0.3">
      <c r="A11" s="23">
        <v>44229</v>
      </c>
      <c r="B11" s="27" t="s">
        <v>49</v>
      </c>
      <c r="C11" s="47"/>
      <c r="D11" s="47">
        <v>12600</v>
      </c>
      <c r="E11" s="47">
        <f t="shared" si="1"/>
        <v>11319</v>
      </c>
      <c r="F11" s="44">
        <v>44236</v>
      </c>
      <c r="G11" s="27">
        <v>40600</v>
      </c>
      <c r="H11" s="24">
        <f t="shared" si="0"/>
        <v>160</v>
      </c>
    </row>
    <row r="12" spans="1:8" x14ac:dyDescent="0.3">
      <c r="A12" s="23">
        <v>44230</v>
      </c>
      <c r="B12" s="27" t="s">
        <v>37</v>
      </c>
      <c r="C12" s="47"/>
      <c r="D12" s="47">
        <v>3000</v>
      </c>
      <c r="E12" s="47">
        <f t="shared" si="1"/>
        <v>8319</v>
      </c>
      <c r="F12" s="44">
        <v>44237</v>
      </c>
      <c r="G12" s="27">
        <v>40760</v>
      </c>
      <c r="H12" s="24">
        <f t="shared" si="0"/>
        <v>153</v>
      </c>
    </row>
    <row r="13" spans="1:8" x14ac:dyDescent="0.3">
      <c r="A13" s="23">
        <v>44231</v>
      </c>
      <c r="B13" s="27"/>
      <c r="C13" s="47">
        <v>150000</v>
      </c>
      <c r="D13" s="47"/>
      <c r="E13" s="47">
        <f t="shared" si="1"/>
        <v>158319</v>
      </c>
      <c r="F13" s="44">
        <v>44238</v>
      </c>
      <c r="G13" s="27">
        <v>40913</v>
      </c>
      <c r="H13" s="24">
        <f t="shared" si="0"/>
        <v>493</v>
      </c>
    </row>
    <row r="14" spans="1:8" x14ac:dyDescent="0.3">
      <c r="A14" s="23">
        <v>44231</v>
      </c>
      <c r="B14" s="27" t="s">
        <v>62</v>
      </c>
      <c r="C14" s="47"/>
      <c r="D14" s="47">
        <v>140000</v>
      </c>
      <c r="E14" s="47">
        <f t="shared" si="1"/>
        <v>18319</v>
      </c>
      <c r="F14" s="44">
        <v>44239</v>
      </c>
      <c r="G14" s="27">
        <v>41406</v>
      </c>
      <c r="H14" s="24">
        <f t="shared" si="0"/>
        <v>41</v>
      </c>
    </row>
    <row r="15" spans="1:8" x14ac:dyDescent="0.3">
      <c r="A15" s="23">
        <v>44232</v>
      </c>
      <c r="B15" s="27" t="s">
        <v>49</v>
      </c>
      <c r="C15" s="47"/>
      <c r="D15" s="47">
        <v>2700</v>
      </c>
      <c r="E15" s="47">
        <f t="shared" si="1"/>
        <v>15619</v>
      </c>
      <c r="F15" s="44">
        <v>44240</v>
      </c>
      <c r="G15" s="27">
        <v>41447</v>
      </c>
      <c r="H15" s="24">
        <f t="shared" si="0"/>
        <v>0</v>
      </c>
    </row>
    <row r="16" spans="1:8" x14ac:dyDescent="0.3">
      <c r="A16" s="23">
        <v>44232</v>
      </c>
      <c r="B16" s="27" t="s">
        <v>49</v>
      </c>
      <c r="C16" s="47"/>
      <c r="D16" s="47">
        <v>2700</v>
      </c>
      <c r="E16" s="47">
        <f t="shared" si="1"/>
        <v>12919</v>
      </c>
      <c r="F16" s="44">
        <v>44241</v>
      </c>
      <c r="G16" s="27">
        <v>41447</v>
      </c>
      <c r="H16" s="24">
        <f t="shared" si="0"/>
        <v>338</v>
      </c>
    </row>
    <row r="17" spans="1:8" x14ac:dyDescent="0.3">
      <c r="A17" s="23">
        <v>44232</v>
      </c>
      <c r="B17" s="27" t="s">
        <v>37</v>
      </c>
      <c r="C17" s="47"/>
      <c r="D17" s="47">
        <v>3300</v>
      </c>
      <c r="E17" s="47">
        <f t="shared" si="1"/>
        <v>9619</v>
      </c>
      <c r="F17" s="44">
        <v>44242</v>
      </c>
      <c r="G17" s="27">
        <v>41785</v>
      </c>
      <c r="H17" s="24">
        <f t="shared" si="0"/>
        <v>42</v>
      </c>
    </row>
    <row r="18" spans="1:8" x14ac:dyDescent="0.3">
      <c r="A18" s="23">
        <v>44233</v>
      </c>
      <c r="B18" s="27" t="s">
        <v>37</v>
      </c>
      <c r="C18" s="47"/>
      <c r="D18" s="47">
        <v>4000</v>
      </c>
      <c r="E18" s="47">
        <f t="shared" si="1"/>
        <v>5619</v>
      </c>
      <c r="F18" s="44">
        <v>44243</v>
      </c>
      <c r="G18" s="27">
        <v>41827</v>
      </c>
      <c r="H18" s="24">
        <f t="shared" si="0"/>
        <v>17</v>
      </c>
    </row>
    <row r="19" spans="1:8" x14ac:dyDescent="0.3">
      <c r="A19" s="23">
        <v>44233</v>
      </c>
      <c r="B19" s="27"/>
      <c r="C19" s="47">
        <v>600000</v>
      </c>
      <c r="D19" s="47"/>
      <c r="E19" s="47">
        <f t="shared" si="1"/>
        <v>605619</v>
      </c>
      <c r="F19" s="44">
        <v>44244</v>
      </c>
      <c r="G19" s="27">
        <v>41844</v>
      </c>
      <c r="H19" s="24">
        <f t="shared" si="0"/>
        <v>55</v>
      </c>
    </row>
    <row r="20" spans="1:8" x14ac:dyDescent="0.3">
      <c r="A20" s="23">
        <v>44234</v>
      </c>
      <c r="B20" s="27"/>
      <c r="C20" s="47">
        <v>400000</v>
      </c>
      <c r="D20" s="47"/>
      <c r="E20" s="47">
        <f t="shared" si="1"/>
        <v>1005619</v>
      </c>
      <c r="F20" s="44">
        <v>44245</v>
      </c>
      <c r="G20" s="27">
        <v>41899</v>
      </c>
      <c r="H20" s="24">
        <f t="shared" si="0"/>
        <v>75</v>
      </c>
    </row>
    <row r="21" spans="1:8" x14ac:dyDescent="0.3">
      <c r="A21" s="23">
        <v>44234</v>
      </c>
      <c r="B21" s="27" t="s">
        <v>63</v>
      </c>
      <c r="C21" s="47"/>
      <c r="D21" s="47">
        <v>62804</v>
      </c>
      <c r="E21" s="47">
        <f t="shared" si="1"/>
        <v>942815</v>
      </c>
      <c r="F21" s="44">
        <v>44246</v>
      </c>
      <c r="G21" s="27">
        <v>41974</v>
      </c>
      <c r="H21" s="24">
        <f t="shared" si="0"/>
        <v>42</v>
      </c>
    </row>
    <row r="22" spans="1:8" x14ac:dyDescent="0.3">
      <c r="A22" s="23">
        <v>44234</v>
      </c>
      <c r="B22" s="27" t="s">
        <v>44</v>
      </c>
      <c r="C22" s="47"/>
      <c r="D22" s="47">
        <f>11300+8800+8900+8900+13300+13300+13300+13300</f>
        <v>91100</v>
      </c>
      <c r="E22" s="47">
        <f t="shared" si="1"/>
        <v>851715</v>
      </c>
      <c r="F22" s="44">
        <v>44247</v>
      </c>
      <c r="G22" s="27">
        <v>42016</v>
      </c>
      <c r="H22" s="24">
        <f t="shared" si="0"/>
        <v>20</v>
      </c>
    </row>
    <row r="23" spans="1:8" x14ac:dyDescent="0.3">
      <c r="A23" s="23">
        <v>44235</v>
      </c>
      <c r="B23" s="27" t="s">
        <v>64</v>
      </c>
      <c r="C23" s="47"/>
      <c r="D23" s="47">
        <v>146000</v>
      </c>
      <c r="E23" s="47">
        <f t="shared" si="1"/>
        <v>705715</v>
      </c>
      <c r="F23" s="44">
        <v>44248</v>
      </c>
      <c r="G23" s="27">
        <v>42036</v>
      </c>
      <c r="H23" s="24">
        <f t="shared" si="0"/>
        <v>79</v>
      </c>
    </row>
    <row r="24" spans="1:8" x14ac:dyDescent="0.3">
      <c r="A24" s="23">
        <v>44235</v>
      </c>
      <c r="B24" s="27" t="s">
        <v>37</v>
      </c>
      <c r="C24" s="47"/>
      <c r="D24" s="47">
        <v>12000</v>
      </c>
      <c r="E24" s="47">
        <f t="shared" si="1"/>
        <v>693715</v>
      </c>
      <c r="F24" s="44">
        <v>44249</v>
      </c>
      <c r="G24" s="27">
        <v>42115</v>
      </c>
      <c r="H24" s="24">
        <f t="shared" si="0"/>
        <v>39</v>
      </c>
    </row>
    <row r="25" spans="1:8" x14ac:dyDescent="0.3">
      <c r="A25" s="23">
        <v>44235</v>
      </c>
      <c r="B25" s="27" t="s">
        <v>44</v>
      </c>
      <c r="C25" s="47"/>
      <c r="D25" s="47">
        <f>9100+9100</f>
        <v>18200</v>
      </c>
      <c r="E25" s="47">
        <f t="shared" si="1"/>
        <v>675515</v>
      </c>
      <c r="F25" s="44">
        <v>44250</v>
      </c>
      <c r="G25" s="27">
        <v>42154</v>
      </c>
      <c r="H25" s="24">
        <f t="shared" si="0"/>
        <v>72</v>
      </c>
    </row>
    <row r="26" spans="1:8" x14ac:dyDescent="0.3">
      <c r="A26" s="23">
        <v>44236</v>
      </c>
      <c r="B26" s="27" t="s">
        <v>37</v>
      </c>
      <c r="C26" s="47"/>
      <c r="D26" s="47">
        <v>30000</v>
      </c>
      <c r="E26" s="47">
        <f t="shared" si="1"/>
        <v>645515</v>
      </c>
      <c r="F26" s="44">
        <v>44251</v>
      </c>
      <c r="G26" s="27">
        <v>42226</v>
      </c>
      <c r="H26" s="24">
        <f t="shared" si="0"/>
        <v>119</v>
      </c>
    </row>
    <row r="27" spans="1:8" x14ac:dyDescent="0.3">
      <c r="A27" s="23">
        <v>44237</v>
      </c>
      <c r="B27" s="27"/>
      <c r="C27" s="47">
        <v>250000</v>
      </c>
      <c r="D27" s="47"/>
      <c r="E27" s="47">
        <f t="shared" si="1"/>
        <v>895515</v>
      </c>
      <c r="F27" s="44">
        <v>44252</v>
      </c>
      <c r="G27" s="27">
        <v>42345</v>
      </c>
      <c r="H27" s="24">
        <f t="shared" si="0"/>
        <v>42</v>
      </c>
    </row>
    <row r="28" spans="1:8" x14ac:dyDescent="0.3">
      <c r="A28" s="23">
        <v>44237</v>
      </c>
      <c r="B28" s="27" t="s">
        <v>65</v>
      </c>
      <c r="C28" s="47"/>
      <c r="D28" s="47">
        <v>126002</v>
      </c>
      <c r="E28" s="47">
        <f t="shared" si="1"/>
        <v>769513</v>
      </c>
      <c r="F28" s="44">
        <v>44253</v>
      </c>
      <c r="G28" s="27">
        <v>42387</v>
      </c>
      <c r="H28" s="24">
        <f t="shared" si="0"/>
        <v>51</v>
      </c>
    </row>
    <row r="29" spans="1:8" x14ac:dyDescent="0.3">
      <c r="A29" s="23">
        <v>44238</v>
      </c>
      <c r="B29" s="27" t="s">
        <v>44</v>
      </c>
      <c r="C29" s="47"/>
      <c r="D29" s="47">
        <f>13300+13300+13300+13300+8900+8900+8800+11300</f>
        <v>91100</v>
      </c>
      <c r="E29" s="47">
        <f t="shared" si="1"/>
        <v>678413</v>
      </c>
      <c r="F29" s="44">
        <v>44254</v>
      </c>
      <c r="G29" s="27">
        <v>42438</v>
      </c>
      <c r="H29" s="24">
        <f t="shared" si="0"/>
        <v>0</v>
      </c>
    </row>
    <row r="30" spans="1:8" x14ac:dyDescent="0.3">
      <c r="A30" s="23">
        <v>44238</v>
      </c>
      <c r="B30" s="27" t="s">
        <v>66</v>
      </c>
      <c r="C30" s="47"/>
      <c r="D30" s="47">
        <v>100000</v>
      </c>
      <c r="E30" s="47">
        <f t="shared" si="1"/>
        <v>578413</v>
      </c>
      <c r="F30" s="44">
        <v>44255</v>
      </c>
      <c r="G30" s="27">
        <v>42438</v>
      </c>
      <c r="H30" s="24">
        <f>+'MAR-21'!G3-'FEB-21'!G30</f>
        <v>0</v>
      </c>
    </row>
    <row r="31" spans="1:8" x14ac:dyDescent="0.3">
      <c r="A31" s="23">
        <v>44238</v>
      </c>
      <c r="B31" s="27" t="s">
        <v>67</v>
      </c>
      <c r="C31" s="47"/>
      <c r="D31" s="47">
        <f>85000*5</f>
        <v>425000</v>
      </c>
      <c r="E31" s="47">
        <f t="shared" si="1"/>
        <v>153413</v>
      </c>
      <c r="F31" s="44"/>
      <c r="G31" s="27"/>
      <c r="H31" s="24">
        <f t="shared" si="0"/>
        <v>0</v>
      </c>
    </row>
    <row r="32" spans="1:8" x14ac:dyDescent="0.3">
      <c r="A32" s="66">
        <v>44239</v>
      </c>
      <c r="B32" s="84"/>
      <c r="C32" s="68">
        <v>450000</v>
      </c>
      <c r="D32" s="68"/>
      <c r="E32" s="68">
        <f t="shared" si="1"/>
        <v>603413</v>
      </c>
      <c r="F32" s="85"/>
      <c r="G32" s="27"/>
      <c r="H32" s="27">
        <f>+G45-G32</f>
        <v>0</v>
      </c>
    </row>
    <row r="33" spans="1:8" x14ac:dyDescent="0.3">
      <c r="A33" s="69">
        <v>44239</v>
      </c>
      <c r="B33" s="71" t="s">
        <v>68</v>
      </c>
      <c r="C33" s="47"/>
      <c r="D33" s="47">
        <v>363690</v>
      </c>
      <c r="E33" s="47">
        <f t="shared" si="1"/>
        <v>239723</v>
      </c>
      <c r="F33" s="85"/>
      <c r="G33" s="27"/>
      <c r="H33" s="27"/>
    </row>
    <row r="34" spans="1:8" x14ac:dyDescent="0.3">
      <c r="A34" s="69">
        <v>44239</v>
      </c>
      <c r="B34" s="71" t="s">
        <v>69</v>
      </c>
      <c r="C34" s="47"/>
      <c r="D34" s="47">
        <v>40000</v>
      </c>
      <c r="E34" s="47">
        <f t="shared" si="1"/>
        <v>199723</v>
      </c>
      <c r="F34" s="27"/>
      <c r="G34" s="27"/>
      <c r="H34" s="27"/>
    </row>
    <row r="35" spans="1:8" x14ac:dyDescent="0.3">
      <c r="A35" s="69">
        <v>44239</v>
      </c>
      <c r="B35" s="71" t="s">
        <v>51</v>
      </c>
      <c r="C35" s="47"/>
      <c r="D35" s="47">
        <v>23000</v>
      </c>
      <c r="E35" s="47">
        <f t="shared" si="1"/>
        <v>176723</v>
      </c>
      <c r="F35" s="27"/>
      <c r="G35" s="27"/>
      <c r="H35" s="27"/>
    </row>
    <row r="36" spans="1:8" x14ac:dyDescent="0.3">
      <c r="A36" s="69">
        <v>44240</v>
      </c>
      <c r="B36" s="27" t="s">
        <v>49</v>
      </c>
      <c r="C36" s="47"/>
      <c r="D36" s="47">
        <v>2700</v>
      </c>
      <c r="E36" s="47">
        <f t="shared" si="1"/>
        <v>174023</v>
      </c>
      <c r="F36" s="27"/>
      <c r="G36" s="27"/>
      <c r="H36" s="27"/>
    </row>
    <row r="37" spans="1:8" x14ac:dyDescent="0.3">
      <c r="A37" s="69">
        <v>44240</v>
      </c>
      <c r="B37" s="27" t="s">
        <v>49</v>
      </c>
      <c r="C37" s="47"/>
      <c r="D37" s="47">
        <v>2700</v>
      </c>
      <c r="E37" s="47">
        <f t="shared" si="1"/>
        <v>171323</v>
      </c>
      <c r="F37" s="27"/>
      <c r="G37" s="27"/>
      <c r="H37" s="27"/>
    </row>
    <row r="38" spans="1:8" x14ac:dyDescent="0.3">
      <c r="A38" s="69">
        <v>44238</v>
      </c>
      <c r="B38" s="27" t="s">
        <v>39</v>
      </c>
      <c r="C38" s="47"/>
      <c r="D38" s="47">
        <v>40000</v>
      </c>
      <c r="E38" s="47">
        <f t="shared" si="1"/>
        <v>131323</v>
      </c>
      <c r="F38" s="27"/>
      <c r="G38" s="27"/>
      <c r="H38" s="27"/>
    </row>
    <row r="39" spans="1:8" x14ac:dyDescent="0.3">
      <c r="A39" s="69">
        <v>44241</v>
      </c>
      <c r="B39" s="27"/>
      <c r="C39" s="47">
        <v>150000</v>
      </c>
      <c r="D39" s="47"/>
      <c r="E39" s="47">
        <f t="shared" si="1"/>
        <v>281323</v>
      </c>
      <c r="F39" s="27"/>
      <c r="G39" s="27"/>
      <c r="H39" s="27"/>
    </row>
    <row r="40" spans="1:8" x14ac:dyDescent="0.3">
      <c r="A40" s="69">
        <v>44241</v>
      </c>
      <c r="B40" s="27" t="s">
        <v>70</v>
      </c>
      <c r="C40" s="47"/>
      <c r="D40" s="47">
        <v>140000</v>
      </c>
      <c r="E40" s="47">
        <f t="shared" si="1"/>
        <v>141323</v>
      </c>
      <c r="F40" s="27"/>
      <c r="G40" s="27"/>
      <c r="H40" s="27"/>
    </row>
    <row r="41" spans="1:8" x14ac:dyDescent="0.3">
      <c r="A41" s="69">
        <v>44243</v>
      </c>
      <c r="B41" s="27" t="s">
        <v>37</v>
      </c>
      <c r="C41" s="47"/>
      <c r="D41" s="47">
        <v>3300</v>
      </c>
      <c r="E41" s="47">
        <f t="shared" si="1"/>
        <v>138023</v>
      </c>
      <c r="F41" s="27"/>
      <c r="G41" s="27"/>
      <c r="H41" s="27"/>
    </row>
    <row r="42" spans="1:8" x14ac:dyDescent="0.3">
      <c r="A42" s="69">
        <v>44243</v>
      </c>
      <c r="B42" s="27" t="s">
        <v>71</v>
      </c>
      <c r="C42" s="47"/>
      <c r="D42" s="47">
        <v>15000</v>
      </c>
      <c r="E42" s="47">
        <f t="shared" si="1"/>
        <v>123023</v>
      </c>
      <c r="F42" s="27"/>
      <c r="G42" s="27"/>
      <c r="H42" s="27"/>
    </row>
    <row r="43" spans="1:8" x14ac:dyDescent="0.3">
      <c r="A43" s="69">
        <v>44244</v>
      </c>
      <c r="B43" s="29" t="s">
        <v>73</v>
      </c>
      <c r="C43" s="33"/>
      <c r="D43" s="86">
        <v>2800</v>
      </c>
      <c r="E43" s="47">
        <f t="shared" si="1"/>
        <v>120223</v>
      </c>
      <c r="F43" s="27"/>
      <c r="G43" s="27"/>
      <c r="H43" s="27"/>
    </row>
    <row r="44" spans="1:8" x14ac:dyDescent="0.3">
      <c r="A44" s="69">
        <v>44246</v>
      </c>
      <c r="B44" s="29" t="s">
        <v>37</v>
      </c>
      <c r="C44" s="33"/>
      <c r="D44" s="86">
        <v>3300</v>
      </c>
      <c r="E44" s="47">
        <f t="shared" si="1"/>
        <v>116923</v>
      </c>
      <c r="F44" s="27"/>
      <c r="G44" s="27"/>
      <c r="H44" s="27"/>
    </row>
    <row r="45" spans="1:8" x14ac:dyDescent="0.3">
      <c r="A45" s="114">
        <v>44246</v>
      </c>
      <c r="B45" s="29" t="s">
        <v>37</v>
      </c>
      <c r="C45" s="33"/>
      <c r="D45" s="86">
        <v>5100</v>
      </c>
      <c r="E45" s="47">
        <f t="shared" si="1"/>
        <v>111823</v>
      </c>
      <c r="F45" s="33"/>
      <c r="G45" s="27"/>
      <c r="H45" s="27" t="e">
        <f>+G46-G45</f>
        <v>#VALUE!</v>
      </c>
    </row>
    <row r="46" spans="1:8" x14ac:dyDescent="0.3">
      <c r="A46" s="114">
        <v>44248</v>
      </c>
      <c r="B46" s="33"/>
      <c r="C46" s="33">
        <v>150000</v>
      </c>
      <c r="D46" s="33"/>
      <c r="E46" s="47">
        <f t="shared" si="1"/>
        <v>261823</v>
      </c>
      <c r="F46" s="33"/>
      <c r="G46" s="27" t="s">
        <v>6</v>
      </c>
      <c r="H46" s="27">
        <f>SUMIFS(H3:H45,H3:H45,"&gt;=0")</f>
        <v>3267</v>
      </c>
    </row>
    <row r="47" spans="1:8" x14ac:dyDescent="0.3">
      <c r="A47" s="114">
        <v>44249</v>
      </c>
      <c r="B47" s="33" t="s">
        <v>74</v>
      </c>
      <c r="C47" s="33"/>
      <c r="D47" s="83">
        <v>120202</v>
      </c>
      <c r="E47" s="47">
        <f t="shared" si="1"/>
        <v>141621</v>
      </c>
      <c r="F47" s="33"/>
      <c r="G47" s="27" t="s">
        <v>24</v>
      </c>
      <c r="H47" s="27">
        <f>AVERAGEIF(H3:H32,"&gt;0",H3:H32)</f>
        <v>130.68</v>
      </c>
    </row>
    <row r="48" spans="1:8" x14ac:dyDescent="0.3">
      <c r="A48" s="114">
        <v>44250</v>
      </c>
      <c r="B48" s="33" t="s">
        <v>37</v>
      </c>
      <c r="C48" s="33"/>
      <c r="D48" s="83">
        <v>3300</v>
      </c>
      <c r="E48" s="47">
        <f t="shared" si="1"/>
        <v>138321</v>
      </c>
      <c r="F48" s="33"/>
      <c r="G48" s="33"/>
      <c r="H48" s="33"/>
    </row>
    <row r="49" spans="1:8" x14ac:dyDescent="0.3">
      <c r="A49" s="114">
        <v>44250</v>
      </c>
      <c r="B49" s="33" t="s">
        <v>44</v>
      </c>
      <c r="C49" s="33"/>
      <c r="D49" s="33">
        <f>2700+2700</f>
        <v>5400</v>
      </c>
      <c r="E49" s="47">
        <f t="shared" si="1"/>
        <v>132921</v>
      </c>
      <c r="F49" s="33"/>
      <c r="G49" s="33"/>
      <c r="H49" s="33"/>
    </row>
    <row r="50" spans="1:8" x14ac:dyDescent="0.3">
      <c r="A50" s="114">
        <v>44251</v>
      </c>
      <c r="B50" s="33" t="s">
        <v>44</v>
      </c>
      <c r="C50" s="33"/>
      <c r="D50" s="33">
        <f>2700+2700</f>
        <v>5400</v>
      </c>
      <c r="E50" s="47">
        <f t="shared" si="1"/>
        <v>127521</v>
      </c>
      <c r="F50" s="33"/>
      <c r="G50" s="33"/>
      <c r="H50" s="33"/>
    </row>
    <row r="51" spans="1:8" x14ac:dyDescent="0.3">
      <c r="A51" s="114">
        <v>44252</v>
      </c>
      <c r="B51" s="33" t="s">
        <v>37</v>
      </c>
      <c r="C51" s="33"/>
      <c r="D51" s="33">
        <f>3300+3300</f>
        <v>6600</v>
      </c>
      <c r="E51" s="47">
        <f t="shared" si="1"/>
        <v>120921</v>
      </c>
      <c r="F51" s="33"/>
      <c r="G51" s="33"/>
      <c r="H51" s="33"/>
    </row>
    <row r="52" spans="1:8" x14ac:dyDescent="0.3">
      <c r="A52" s="33"/>
      <c r="B52" s="33"/>
      <c r="C52" s="33"/>
      <c r="D52" s="33"/>
      <c r="E52" s="33"/>
      <c r="F52" s="33"/>
      <c r="G52" s="33"/>
      <c r="H52" s="33"/>
    </row>
    <row r="53" spans="1:8" x14ac:dyDescent="0.3">
      <c r="A53" s="33"/>
      <c r="B53" s="33"/>
      <c r="C53" s="33"/>
      <c r="D53" s="33"/>
      <c r="E53" s="33"/>
      <c r="F53" s="33"/>
      <c r="G53" s="33"/>
      <c r="H53" s="33"/>
    </row>
    <row r="54" spans="1:8" x14ac:dyDescent="0.3">
      <c r="A54" s="33"/>
      <c r="B54" s="33"/>
      <c r="C54" s="33"/>
      <c r="D54" s="33"/>
      <c r="E54" s="33"/>
      <c r="F54" s="33"/>
      <c r="G54" s="33"/>
      <c r="H54" s="33"/>
    </row>
    <row r="55" spans="1:8" x14ac:dyDescent="0.3">
      <c r="A55" s="33"/>
      <c r="B55" s="27" t="s">
        <v>14</v>
      </c>
      <c r="C55" s="47">
        <f>SUM(C3:C54)</f>
        <v>2240619</v>
      </c>
      <c r="D55" s="47">
        <f>SUM(D3:D54)</f>
        <v>2119698</v>
      </c>
      <c r="E55" s="33"/>
      <c r="F55" s="33"/>
      <c r="G55" s="33"/>
      <c r="H55" s="33"/>
    </row>
    <row r="56" spans="1:8" x14ac:dyDescent="0.3">
      <c r="A56" s="33"/>
      <c r="B56" s="27" t="s">
        <v>7</v>
      </c>
      <c r="C56" s="115">
        <f>C55-D55</f>
        <v>120921</v>
      </c>
      <c r="D56" s="116"/>
      <c r="E56" s="33"/>
      <c r="F56" s="33"/>
      <c r="G56" s="33"/>
      <c r="H56" s="33"/>
    </row>
  </sheetData>
  <mergeCells count="1">
    <mergeCell ref="A1:H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9"/>
  <sheetViews>
    <sheetView topLeftCell="A2" workbookViewId="0">
      <selection activeCell="O18" sqref="O18"/>
    </sheetView>
  </sheetViews>
  <sheetFormatPr baseColWidth="10" defaultRowHeight="14.4" x14ac:dyDescent="0.3"/>
  <cols>
    <col min="2" max="2" width="17.6640625" customWidth="1"/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44257</v>
      </c>
      <c r="B3" s="24"/>
      <c r="C3" s="46">
        <v>400000</v>
      </c>
      <c r="D3" s="47"/>
      <c r="E3" s="47">
        <f>+C3-D3</f>
        <v>400000</v>
      </c>
      <c r="F3" s="44">
        <v>44256</v>
      </c>
      <c r="G3" s="24">
        <v>42438</v>
      </c>
      <c r="H3" s="25">
        <f>+G4-G3</f>
        <v>96</v>
      </c>
    </row>
    <row r="4" spans="1:8" x14ac:dyDescent="0.3">
      <c r="A4" s="23">
        <v>44258</v>
      </c>
      <c r="B4" s="27" t="s">
        <v>76</v>
      </c>
      <c r="C4" s="47"/>
      <c r="D4" s="47">
        <v>148054</v>
      </c>
      <c r="E4" s="47">
        <f>E3+C4-D4</f>
        <v>251946</v>
      </c>
      <c r="F4" s="44">
        <v>44257</v>
      </c>
      <c r="G4" s="27">
        <v>42534</v>
      </c>
      <c r="H4" s="25">
        <f t="shared" ref="H4:H32" si="0">+G5-G4</f>
        <v>80</v>
      </c>
    </row>
    <row r="5" spans="1:8" x14ac:dyDescent="0.3">
      <c r="A5" s="23"/>
      <c r="B5" s="27" t="s">
        <v>49</v>
      </c>
      <c r="C5" s="47"/>
      <c r="D5" s="47">
        <f>11300+8800</f>
        <v>20100</v>
      </c>
      <c r="E5" s="47">
        <f t="shared" ref="E5:E33" si="1">E4+C5-D5</f>
        <v>231846</v>
      </c>
      <c r="F5" s="44">
        <v>44258</v>
      </c>
      <c r="G5" s="27">
        <v>42614</v>
      </c>
      <c r="H5" s="25">
        <f t="shared" si="0"/>
        <v>428</v>
      </c>
    </row>
    <row r="6" spans="1:8" x14ac:dyDescent="0.3">
      <c r="A6" s="23"/>
      <c r="B6" s="27" t="s">
        <v>49</v>
      </c>
      <c r="C6" s="47"/>
      <c r="D6" s="47">
        <f>11300+8800</f>
        <v>20100</v>
      </c>
      <c r="E6" s="47">
        <f t="shared" si="1"/>
        <v>211746</v>
      </c>
      <c r="F6" s="44">
        <v>44259</v>
      </c>
      <c r="G6" s="27">
        <v>43042</v>
      </c>
      <c r="H6" s="25">
        <f t="shared" si="0"/>
        <v>114</v>
      </c>
    </row>
    <row r="7" spans="1:8" x14ac:dyDescent="0.3">
      <c r="A7" s="23"/>
      <c r="B7" s="27" t="s">
        <v>52</v>
      </c>
      <c r="C7" s="47"/>
      <c r="D7" s="47">
        <v>40000</v>
      </c>
      <c r="E7" s="47">
        <f t="shared" si="1"/>
        <v>171746</v>
      </c>
      <c r="F7" s="44">
        <v>44260</v>
      </c>
      <c r="G7" s="27">
        <v>43156</v>
      </c>
      <c r="H7" s="25">
        <f t="shared" si="0"/>
        <v>0</v>
      </c>
    </row>
    <row r="8" spans="1:8" x14ac:dyDescent="0.3">
      <c r="A8" s="23">
        <v>44260</v>
      </c>
      <c r="B8" s="27" t="s">
        <v>77</v>
      </c>
      <c r="C8" s="47"/>
      <c r="D8" s="47">
        <v>114050</v>
      </c>
      <c r="E8" s="47">
        <f t="shared" si="1"/>
        <v>57696</v>
      </c>
      <c r="F8" s="44">
        <v>44261</v>
      </c>
      <c r="G8" s="29">
        <v>43156</v>
      </c>
      <c r="H8" s="25">
        <f t="shared" si="0"/>
        <v>0</v>
      </c>
    </row>
    <row r="9" spans="1:8" x14ac:dyDescent="0.3">
      <c r="A9" s="23">
        <v>44260</v>
      </c>
      <c r="B9" s="27" t="s">
        <v>37</v>
      </c>
      <c r="C9" s="47"/>
      <c r="D9" s="47">
        <v>3300</v>
      </c>
      <c r="E9" s="47">
        <f t="shared" si="1"/>
        <v>54396</v>
      </c>
      <c r="F9" s="44">
        <v>44262</v>
      </c>
      <c r="G9" s="27">
        <v>43156</v>
      </c>
      <c r="H9" s="25">
        <f t="shared" si="0"/>
        <v>0</v>
      </c>
    </row>
    <row r="10" spans="1:8" x14ac:dyDescent="0.3">
      <c r="A10" s="23">
        <v>44264</v>
      </c>
      <c r="B10" s="27" t="s">
        <v>37</v>
      </c>
      <c r="C10" s="47"/>
      <c r="D10" s="47">
        <v>3300</v>
      </c>
      <c r="E10" s="47">
        <f t="shared" si="1"/>
        <v>51096</v>
      </c>
      <c r="F10" s="44">
        <v>44263</v>
      </c>
      <c r="G10" s="29">
        <v>43156</v>
      </c>
      <c r="H10" s="25">
        <f t="shared" si="0"/>
        <v>45</v>
      </c>
    </row>
    <row r="11" spans="1:8" x14ac:dyDescent="0.3">
      <c r="A11" s="23">
        <v>44270</v>
      </c>
      <c r="B11" s="27"/>
      <c r="C11" s="47">
        <v>150000</v>
      </c>
      <c r="D11" s="47"/>
      <c r="E11" s="47">
        <f t="shared" si="1"/>
        <v>201096</v>
      </c>
      <c r="F11" s="44">
        <v>44264</v>
      </c>
      <c r="G11" s="27">
        <v>43201</v>
      </c>
      <c r="H11" s="25">
        <f t="shared" si="0"/>
        <v>88</v>
      </c>
    </row>
    <row r="12" spans="1:8" x14ac:dyDescent="0.3">
      <c r="A12" s="23">
        <v>44270</v>
      </c>
      <c r="B12" s="27" t="s">
        <v>78</v>
      </c>
      <c r="C12" s="47"/>
      <c r="D12" s="47">
        <v>140022</v>
      </c>
      <c r="E12" s="47">
        <f t="shared" si="1"/>
        <v>61074</v>
      </c>
      <c r="F12" s="44">
        <v>44265</v>
      </c>
      <c r="G12" s="27">
        <v>43289</v>
      </c>
      <c r="H12" s="25">
        <f t="shared" si="0"/>
        <v>64</v>
      </c>
    </row>
    <row r="13" spans="1:8" x14ac:dyDescent="0.3">
      <c r="A13" s="23">
        <v>44270</v>
      </c>
      <c r="B13" s="27" t="s">
        <v>49</v>
      </c>
      <c r="C13" s="47"/>
      <c r="D13" s="47">
        <v>5400</v>
      </c>
      <c r="E13" s="47">
        <f t="shared" si="1"/>
        <v>55674</v>
      </c>
      <c r="F13" s="44">
        <v>44266</v>
      </c>
      <c r="G13" s="27">
        <v>43353</v>
      </c>
      <c r="H13" s="25">
        <f t="shared" si="0"/>
        <v>69</v>
      </c>
    </row>
    <row r="14" spans="1:8" x14ac:dyDescent="0.3">
      <c r="A14" s="23">
        <v>44273</v>
      </c>
      <c r="B14" s="27"/>
      <c r="C14" s="47">
        <v>180000</v>
      </c>
      <c r="D14" s="47"/>
      <c r="E14" s="47">
        <f t="shared" si="1"/>
        <v>235674</v>
      </c>
      <c r="F14" s="44">
        <v>44267</v>
      </c>
      <c r="G14" s="27">
        <v>43422</v>
      </c>
      <c r="H14" s="25">
        <f t="shared" si="0"/>
        <v>60</v>
      </c>
    </row>
    <row r="15" spans="1:8" x14ac:dyDescent="0.3">
      <c r="A15" s="23">
        <v>44274</v>
      </c>
      <c r="B15" s="27" t="s">
        <v>79</v>
      </c>
      <c r="C15" s="47"/>
      <c r="D15" s="47">
        <v>100000</v>
      </c>
      <c r="E15" s="47">
        <f t="shared" si="1"/>
        <v>135674</v>
      </c>
      <c r="F15" s="44">
        <v>44268</v>
      </c>
      <c r="G15" s="27">
        <v>43482</v>
      </c>
      <c r="H15" s="25">
        <f t="shared" si="0"/>
        <v>61</v>
      </c>
    </row>
    <row r="16" spans="1:8" x14ac:dyDescent="0.3">
      <c r="A16" s="23">
        <v>44274</v>
      </c>
      <c r="B16" s="27" t="s">
        <v>49</v>
      </c>
      <c r="C16" s="47"/>
      <c r="D16" s="47">
        <v>17400</v>
      </c>
      <c r="E16" s="47">
        <f t="shared" si="1"/>
        <v>118274</v>
      </c>
      <c r="F16" s="44">
        <v>44269</v>
      </c>
      <c r="G16" s="27">
        <v>43543</v>
      </c>
      <c r="H16" s="25">
        <f t="shared" si="0"/>
        <v>253</v>
      </c>
    </row>
    <row r="17" spans="1:8" x14ac:dyDescent="0.3">
      <c r="A17" s="23">
        <v>44275</v>
      </c>
      <c r="B17" s="27" t="s">
        <v>39</v>
      </c>
      <c r="C17" s="47"/>
      <c r="D17" s="47">
        <v>35000</v>
      </c>
      <c r="E17" s="47">
        <f t="shared" si="1"/>
        <v>83274</v>
      </c>
      <c r="F17" s="44">
        <v>44270</v>
      </c>
      <c r="G17" s="27">
        <v>43796</v>
      </c>
      <c r="H17" s="25">
        <f t="shared" si="0"/>
        <v>100</v>
      </c>
    </row>
    <row r="18" spans="1:8" x14ac:dyDescent="0.3">
      <c r="A18" s="23">
        <v>44275</v>
      </c>
      <c r="B18" s="27" t="s">
        <v>52</v>
      </c>
      <c r="C18" s="47"/>
      <c r="D18" s="47">
        <v>25000</v>
      </c>
      <c r="E18" s="47">
        <f t="shared" si="1"/>
        <v>58274</v>
      </c>
      <c r="F18" s="44">
        <v>44271</v>
      </c>
      <c r="G18" s="27">
        <v>43896</v>
      </c>
      <c r="H18" s="25">
        <f t="shared" si="0"/>
        <v>80</v>
      </c>
    </row>
    <row r="19" spans="1:8" x14ac:dyDescent="0.3">
      <c r="A19" s="23">
        <v>44282</v>
      </c>
      <c r="B19" s="27" t="s">
        <v>41</v>
      </c>
      <c r="C19" s="47"/>
      <c r="D19" s="47">
        <v>20000</v>
      </c>
      <c r="E19" s="47">
        <f t="shared" si="1"/>
        <v>38274</v>
      </c>
      <c r="F19" s="44">
        <v>44272</v>
      </c>
      <c r="G19" s="27">
        <v>43976</v>
      </c>
      <c r="H19" s="25">
        <f t="shared" si="0"/>
        <v>38</v>
      </c>
    </row>
    <row r="20" spans="1:8" x14ac:dyDescent="0.3">
      <c r="A20" s="23">
        <v>44282</v>
      </c>
      <c r="B20" s="27" t="s">
        <v>80</v>
      </c>
      <c r="C20" s="47"/>
      <c r="D20" s="47">
        <v>80000</v>
      </c>
      <c r="E20" s="47">
        <f t="shared" si="1"/>
        <v>-41726</v>
      </c>
      <c r="F20" s="44">
        <v>44273</v>
      </c>
      <c r="G20" s="27">
        <v>44014</v>
      </c>
      <c r="H20" s="25">
        <f t="shared" si="0"/>
        <v>52</v>
      </c>
    </row>
    <row r="21" spans="1:8" x14ac:dyDescent="0.3">
      <c r="A21" s="23"/>
      <c r="B21" s="27"/>
      <c r="C21" s="47"/>
      <c r="D21" s="47"/>
      <c r="E21" s="47">
        <f t="shared" si="1"/>
        <v>-41726</v>
      </c>
      <c r="F21" s="44">
        <v>44274</v>
      </c>
      <c r="G21" s="27">
        <v>44066</v>
      </c>
      <c r="H21" s="25">
        <f t="shared" si="0"/>
        <v>270</v>
      </c>
    </row>
    <row r="22" spans="1:8" x14ac:dyDescent="0.3">
      <c r="A22" s="23"/>
      <c r="B22" s="27"/>
      <c r="C22" s="47"/>
      <c r="D22" s="47"/>
      <c r="E22" s="47">
        <f t="shared" si="1"/>
        <v>-41726</v>
      </c>
      <c r="F22" s="44">
        <v>44275</v>
      </c>
      <c r="G22" s="27">
        <v>44336</v>
      </c>
      <c r="H22" s="25">
        <f t="shared" si="0"/>
        <v>28</v>
      </c>
    </row>
    <row r="23" spans="1:8" x14ac:dyDescent="0.3">
      <c r="A23" s="23"/>
      <c r="B23" s="27"/>
      <c r="C23" s="47"/>
      <c r="D23" s="47"/>
      <c r="E23" s="47">
        <f t="shared" si="1"/>
        <v>-41726</v>
      </c>
      <c r="F23" s="44">
        <v>44276</v>
      </c>
      <c r="G23" s="27">
        <v>44364</v>
      </c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-41726</v>
      </c>
      <c r="F24" s="44">
        <v>44277</v>
      </c>
      <c r="G24" s="27">
        <v>44364</v>
      </c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-41726</v>
      </c>
      <c r="F25" s="44">
        <v>44278</v>
      </c>
      <c r="G25" s="29">
        <v>44364</v>
      </c>
      <c r="H25" s="25">
        <f t="shared" si="0"/>
        <v>78</v>
      </c>
    </row>
    <row r="26" spans="1:8" x14ac:dyDescent="0.3">
      <c r="A26" s="23"/>
      <c r="B26" s="27"/>
      <c r="C26" s="47"/>
      <c r="D26" s="47"/>
      <c r="E26" s="47">
        <f t="shared" si="1"/>
        <v>-41726</v>
      </c>
      <c r="F26" s="44">
        <v>44279</v>
      </c>
      <c r="G26" s="27">
        <v>44442</v>
      </c>
      <c r="H26" s="25">
        <f t="shared" si="0"/>
        <v>49</v>
      </c>
    </row>
    <row r="27" spans="1:8" x14ac:dyDescent="0.3">
      <c r="A27" s="23"/>
      <c r="B27" s="27"/>
      <c r="C27" s="47"/>
      <c r="D27" s="47"/>
      <c r="E27" s="47">
        <f t="shared" si="1"/>
        <v>-41726</v>
      </c>
      <c r="F27" s="44">
        <v>44280</v>
      </c>
      <c r="G27" s="27">
        <v>44491</v>
      </c>
      <c r="H27" s="25">
        <f t="shared" si="0"/>
        <v>113</v>
      </c>
    </row>
    <row r="28" spans="1:8" x14ac:dyDescent="0.3">
      <c r="A28" s="23"/>
      <c r="B28" s="27"/>
      <c r="C28" s="47"/>
      <c r="D28" s="47"/>
      <c r="E28" s="47">
        <f t="shared" si="1"/>
        <v>-41726</v>
      </c>
      <c r="F28" s="44">
        <v>44281</v>
      </c>
      <c r="G28" s="27">
        <v>44604</v>
      </c>
      <c r="H28" s="25">
        <f t="shared" si="0"/>
        <v>7</v>
      </c>
    </row>
    <row r="29" spans="1:8" x14ac:dyDescent="0.3">
      <c r="A29" s="23"/>
      <c r="B29" s="27"/>
      <c r="C29" s="47"/>
      <c r="D29" s="47"/>
      <c r="E29" s="47">
        <f t="shared" si="1"/>
        <v>-41726</v>
      </c>
      <c r="F29" s="44">
        <v>44282</v>
      </c>
      <c r="G29" s="27">
        <v>44611</v>
      </c>
      <c r="H29" s="25">
        <f t="shared" si="0"/>
        <v>28</v>
      </c>
    </row>
    <row r="30" spans="1:8" x14ac:dyDescent="0.3">
      <c r="A30" s="23"/>
      <c r="B30" s="27"/>
      <c r="C30" s="47"/>
      <c r="D30" s="47"/>
      <c r="E30" s="47">
        <f t="shared" si="1"/>
        <v>-41726</v>
      </c>
      <c r="F30" s="44">
        <v>44283</v>
      </c>
      <c r="G30" s="27">
        <v>44639</v>
      </c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-41726</v>
      </c>
      <c r="F31" s="44">
        <v>44284</v>
      </c>
      <c r="G31" s="27">
        <v>44639</v>
      </c>
      <c r="H31" s="25">
        <f t="shared" si="0"/>
        <v>87</v>
      </c>
    </row>
    <row r="32" spans="1:8" x14ac:dyDescent="0.3">
      <c r="A32" s="66"/>
      <c r="B32" s="84"/>
      <c r="C32" s="68"/>
      <c r="D32" s="68"/>
      <c r="E32" s="68">
        <f t="shared" si="1"/>
        <v>-41726</v>
      </c>
      <c r="F32" s="44">
        <v>44285</v>
      </c>
      <c r="G32" s="27">
        <v>44726</v>
      </c>
      <c r="H32" s="25">
        <f t="shared" si="0"/>
        <v>46</v>
      </c>
    </row>
    <row r="33" spans="1:8" x14ac:dyDescent="0.3">
      <c r="A33" s="69"/>
      <c r="B33" s="71"/>
      <c r="C33" s="47"/>
      <c r="D33" s="47"/>
      <c r="E33" s="47">
        <f t="shared" si="1"/>
        <v>-41726</v>
      </c>
      <c r="F33" s="44">
        <v>44286</v>
      </c>
      <c r="G33" s="27">
        <v>44772</v>
      </c>
      <c r="H33" s="25">
        <f>+'ABR-21'!G3-'MAR-21'!G33</f>
        <v>59</v>
      </c>
    </row>
    <row r="34" spans="1:8" x14ac:dyDescent="0.3">
      <c r="A34" s="70"/>
      <c r="B34" s="27" t="s">
        <v>14</v>
      </c>
      <c r="C34" s="47">
        <f>SUM(C3:C33)</f>
        <v>730000</v>
      </c>
      <c r="D34" s="47">
        <f>SUM(D3:D33)</f>
        <v>771726</v>
      </c>
      <c r="E34" s="47"/>
      <c r="G34" s="1" t="s">
        <v>6</v>
      </c>
      <c r="H34" s="28">
        <f>SUMIFS(H3:H33,H3:H33,"&gt;=0")</f>
        <v>2393</v>
      </c>
    </row>
    <row r="35" spans="1:8" x14ac:dyDescent="0.3">
      <c r="A35" s="70"/>
      <c r="B35" s="1" t="s">
        <v>7</v>
      </c>
      <c r="C35" s="105">
        <f>C34-D34</f>
        <v>-41726</v>
      </c>
      <c r="D35" s="106"/>
      <c r="E35" s="47"/>
      <c r="G35" s="1" t="s">
        <v>24</v>
      </c>
      <c r="H35" s="28">
        <f>AVERAGEIF(H3:H32,"&gt;0",H3:H32)</f>
        <v>97.25</v>
      </c>
    </row>
    <row r="36" spans="1:8" x14ac:dyDescent="0.3">
      <c r="A36" s="18"/>
      <c r="D36" s="83"/>
      <c r="E36" s="87"/>
    </row>
    <row r="37" spans="1:8" x14ac:dyDescent="0.3">
      <c r="A37" s="18"/>
      <c r="E37" s="87"/>
    </row>
    <row r="38" spans="1:8" x14ac:dyDescent="0.3">
      <c r="A38" s="18"/>
      <c r="E38" s="87"/>
    </row>
    <row r="39" spans="1:8" x14ac:dyDescent="0.3">
      <c r="A39" s="18"/>
      <c r="E39" s="87"/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5"/>
  <sheetViews>
    <sheetView topLeftCell="A2" workbookViewId="0">
      <selection activeCell="A2" sqref="A2:H35"/>
    </sheetView>
  </sheetViews>
  <sheetFormatPr baseColWidth="10" defaultRowHeight="14.4" x14ac:dyDescent="0.3"/>
  <cols>
    <col min="2" max="2" width="13.33203125" bestFit="1" customWidth="1"/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/>
      <c r="B3" s="24"/>
      <c r="C3" s="46"/>
      <c r="D3" s="47">
        <v>41726</v>
      </c>
      <c r="E3" s="47">
        <f>+C3-D3</f>
        <v>-41726</v>
      </c>
      <c r="F3" s="44">
        <v>44287</v>
      </c>
      <c r="G3" s="24">
        <v>44831</v>
      </c>
      <c r="H3" s="25">
        <f>+G4-G3</f>
        <v>0</v>
      </c>
    </row>
    <row r="4" spans="1:8" x14ac:dyDescent="0.3">
      <c r="A4" s="23">
        <v>44290</v>
      </c>
      <c r="B4" s="27"/>
      <c r="C4" s="47">
        <v>150000</v>
      </c>
      <c r="D4" s="47"/>
      <c r="E4" s="47">
        <f>E3+C4-D4</f>
        <v>108274</v>
      </c>
      <c r="F4" s="44">
        <v>44288</v>
      </c>
      <c r="G4" s="27">
        <v>44831</v>
      </c>
      <c r="H4" s="25">
        <f t="shared" ref="H4:H31" si="0">+G5-G4</f>
        <v>0</v>
      </c>
    </row>
    <row r="5" spans="1:8" x14ac:dyDescent="0.3">
      <c r="A5" s="23">
        <v>44290</v>
      </c>
      <c r="B5" s="27" t="s">
        <v>81</v>
      </c>
      <c r="C5" s="47"/>
      <c r="D5" s="47">
        <v>146957</v>
      </c>
      <c r="E5" s="47">
        <f t="shared" ref="E5:E32" si="1">E4+C5-D5</f>
        <v>-38683</v>
      </c>
      <c r="F5" s="44">
        <v>44289</v>
      </c>
      <c r="G5" s="27">
        <v>44831</v>
      </c>
      <c r="H5" s="25">
        <f t="shared" si="0"/>
        <v>0</v>
      </c>
    </row>
    <row r="6" spans="1:8" x14ac:dyDescent="0.3">
      <c r="A6" s="23">
        <v>44291</v>
      </c>
      <c r="B6" s="27" t="s">
        <v>82</v>
      </c>
      <c r="C6" s="47">
        <v>40000</v>
      </c>
      <c r="D6" s="47"/>
      <c r="E6" s="47">
        <f t="shared" si="1"/>
        <v>1317</v>
      </c>
      <c r="F6" s="44">
        <v>44290</v>
      </c>
      <c r="G6" s="27">
        <v>44831</v>
      </c>
      <c r="H6" s="25">
        <f t="shared" si="0"/>
        <v>12</v>
      </c>
    </row>
    <row r="7" spans="1:8" x14ac:dyDescent="0.3">
      <c r="A7" s="23">
        <v>44298</v>
      </c>
      <c r="B7" s="27"/>
      <c r="C7" s="47">
        <v>130000</v>
      </c>
      <c r="D7" s="47"/>
      <c r="E7" s="47">
        <f t="shared" si="1"/>
        <v>131317</v>
      </c>
      <c r="F7" s="44">
        <v>44291</v>
      </c>
      <c r="G7" s="27">
        <v>44843</v>
      </c>
      <c r="H7" s="25">
        <f t="shared" si="0"/>
        <v>53</v>
      </c>
    </row>
    <row r="8" spans="1:8" x14ac:dyDescent="0.3">
      <c r="A8" s="23">
        <v>44299</v>
      </c>
      <c r="B8" s="27" t="s">
        <v>83</v>
      </c>
      <c r="C8" s="47"/>
      <c r="D8" s="47">
        <v>140000</v>
      </c>
      <c r="E8" s="47">
        <f t="shared" si="1"/>
        <v>-8683</v>
      </c>
      <c r="F8" s="44">
        <v>44292</v>
      </c>
      <c r="G8" s="29">
        <v>44896</v>
      </c>
      <c r="H8" s="25">
        <f t="shared" si="0"/>
        <v>0</v>
      </c>
    </row>
    <row r="9" spans="1:8" x14ac:dyDescent="0.3">
      <c r="A9" s="23">
        <v>44296</v>
      </c>
      <c r="B9" s="27" t="s">
        <v>37</v>
      </c>
      <c r="C9" s="47"/>
      <c r="D9" s="47">
        <v>4700</v>
      </c>
      <c r="E9" s="47">
        <f t="shared" si="1"/>
        <v>-13383</v>
      </c>
      <c r="F9" s="44">
        <v>44293</v>
      </c>
      <c r="G9" s="27">
        <v>44896</v>
      </c>
      <c r="H9" s="25">
        <f t="shared" si="0"/>
        <v>142</v>
      </c>
    </row>
    <row r="10" spans="1:8" x14ac:dyDescent="0.3">
      <c r="A10" s="23">
        <v>44300</v>
      </c>
      <c r="B10" s="27" t="s">
        <v>84</v>
      </c>
      <c r="C10" s="47"/>
      <c r="D10" s="47">
        <f>11300+11300</f>
        <v>22600</v>
      </c>
      <c r="E10" s="47">
        <f t="shared" si="1"/>
        <v>-35983</v>
      </c>
      <c r="F10" s="44">
        <v>44294</v>
      </c>
      <c r="G10" s="29">
        <v>45038</v>
      </c>
      <c r="H10" s="25">
        <f t="shared" si="0"/>
        <v>64</v>
      </c>
    </row>
    <row r="11" spans="1:8" x14ac:dyDescent="0.3">
      <c r="A11" s="23">
        <v>44307</v>
      </c>
      <c r="B11" s="27"/>
      <c r="C11" s="47">
        <v>200000</v>
      </c>
      <c r="D11" s="47"/>
      <c r="E11" s="47">
        <f t="shared" si="1"/>
        <v>164017</v>
      </c>
      <c r="F11" s="44">
        <v>44295</v>
      </c>
      <c r="G11" s="27">
        <v>45102</v>
      </c>
      <c r="H11" s="25">
        <f t="shared" si="0"/>
        <v>72</v>
      </c>
    </row>
    <row r="12" spans="1:8" x14ac:dyDescent="0.3">
      <c r="A12" s="23">
        <v>44307</v>
      </c>
      <c r="B12" s="27" t="s">
        <v>85</v>
      </c>
      <c r="C12" s="47"/>
      <c r="D12" s="47">
        <v>169996</v>
      </c>
      <c r="E12" s="47">
        <f t="shared" si="1"/>
        <v>-5979</v>
      </c>
      <c r="F12" s="44">
        <v>44296</v>
      </c>
      <c r="G12" s="27">
        <v>45174</v>
      </c>
      <c r="H12" s="25">
        <f t="shared" si="0"/>
        <v>27</v>
      </c>
    </row>
    <row r="13" spans="1:8" x14ac:dyDescent="0.3">
      <c r="A13" s="23">
        <v>44316</v>
      </c>
      <c r="B13" s="27"/>
      <c r="C13" s="47">
        <v>200000</v>
      </c>
      <c r="D13" s="47"/>
      <c r="E13" s="47">
        <f t="shared" si="1"/>
        <v>194021</v>
      </c>
      <c r="F13" s="44">
        <v>44297</v>
      </c>
      <c r="G13" s="27">
        <v>45201</v>
      </c>
      <c r="H13" s="25">
        <f t="shared" si="0"/>
        <v>0</v>
      </c>
    </row>
    <row r="14" spans="1:8" x14ac:dyDescent="0.3">
      <c r="A14" s="23">
        <v>44316</v>
      </c>
      <c r="B14" s="27" t="s">
        <v>86</v>
      </c>
      <c r="C14" s="47"/>
      <c r="D14" s="47">
        <v>153058</v>
      </c>
      <c r="E14" s="47">
        <f t="shared" si="1"/>
        <v>40963</v>
      </c>
      <c r="F14" s="44">
        <v>44298</v>
      </c>
      <c r="G14" s="27">
        <v>45201</v>
      </c>
      <c r="H14" s="25">
        <f t="shared" si="0"/>
        <v>86</v>
      </c>
    </row>
    <row r="15" spans="1:8" x14ac:dyDescent="0.3">
      <c r="A15" s="23"/>
      <c r="B15" s="27"/>
      <c r="C15" s="47"/>
      <c r="D15" s="47"/>
      <c r="E15" s="47">
        <f t="shared" si="1"/>
        <v>40963</v>
      </c>
      <c r="F15" s="44">
        <v>44299</v>
      </c>
      <c r="G15" s="27">
        <v>45287</v>
      </c>
      <c r="H15" s="25">
        <f t="shared" si="0"/>
        <v>71</v>
      </c>
    </row>
    <row r="16" spans="1:8" x14ac:dyDescent="0.3">
      <c r="A16" s="23"/>
      <c r="B16" s="27"/>
      <c r="C16" s="47"/>
      <c r="D16" s="47"/>
      <c r="E16" s="47">
        <f t="shared" si="1"/>
        <v>40963</v>
      </c>
      <c r="F16" s="44">
        <v>44300</v>
      </c>
      <c r="G16" s="27">
        <v>45358</v>
      </c>
      <c r="H16" s="25">
        <f t="shared" si="0"/>
        <v>110</v>
      </c>
    </row>
    <row r="17" spans="1:8" x14ac:dyDescent="0.3">
      <c r="A17" s="23"/>
      <c r="B17" s="27"/>
      <c r="C17" s="47"/>
      <c r="D17" s="47"/>
      <c r="E17" s="47">
        <f t="shared" si="1"/>
        <v>40963</v>
      </c>
      <c r="F17" s="44">
        <v>44301</v>
      </c>
      <c r="G17" s="27">
        <v>45468</v>
      </c>
      <c r="H17" s="25">
        <f t="shared" si="0"/>
        <v>59</v>
      </c>
    </row>
    <row r="18" spans="1:8" x14ac:dyDescent="0.3">
      <c r="A18" s="23"/>
      <c r="B18" s="27"/>
      <c r="C18" s="47"/>
      <c r="D18" s="47"/>
      <c r="E18" s="47">
        <f t="shared" si="1"/>
        <v>40963</v>
      </c>
      <c r="F18" s="44">
        <v>44302</v>
      </c>
      <c r="G18" s="27">
        <v>45527</v>
      </c>
      <c r="H18" s="25">
        <f t="shared" si="0"/>
        <v>48</v>
      </c>
    </row>
    <row r="19" spans="1:8" x14ac:dyDescent="0.3">
      <c r="A19" s="23"/>
      <c r="B19" s="27"/>
      <c r="C19" s="47"/>
      <c r="D19" s="47"/>
      <c r="E19" s="47">
        <f t="shared" si="1"/>
        <v>40963</v>
      </c>
      <c r="F19" s="44">
        <v>44303</v>
      </c>
      <c r="G19" s="27">
        <v>45575</v>
      </c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40963</v>
      </c>
      <c r="F20" s="44">
        <v>44304</v>
      </c>
      <c r="G20" s="27">
        <v>45575</v>
      </c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40963</v>
      </c>
      <c r="F21" s="44">
        <v>44305</v>
      </c>
      <c r="G21" s="27">
        <v>45575</v>
      </c>
      <c r="H21" s="25">
        <f t="shared" si="0"/>
        <v>67</v>
      </c>
    </row>
    <row r="22" spans="1:8" x14ac:dyDescent="0.3">
      <c r="A22" s="23"/>
      <c r="B22" s="27"/>
      <c r="C22" s="47"/>
      <c r="D22" s="47"/>
      <c r="E22" s="47">
        <f t="shared" si="1"/>
        <v>40963</v>
      </c>
      <c r="F22" s="44">
        <v>44306</v>
      </c>
      <c r="G22" s="27">
        <v>45642</v>
      </c>
      <c r="H22" s="25">
        <f t="shared" si="0"/>
        <v>89</v>
      </c>
    </row>
    <row r="23" spans="1:8" x14ac:dyDescent="0.3">
      <c r="A23" s="23"/>
      <c r="B23" s="27"/>
      <c r="C23" s="47"/>
      <c r="D23" s="47"/>
      <c r="E23" s="47">
        <f t="shared" si="1"/>
        <v>40963</v>
      </c>
      <c r="F23" s="44">
        <v>44307</v>
      </c>
      <c r="G23" s="27">
        <v>45731</v>
      </c>
      <c r="H23" s="25">
        <f t="shared" si="0"/>
        <v>109</v>
      </c>
    </row>
    <row r="24" spans="1:8" x14ac:dyDescent="0.3">
      <c r="A24" s="23"/>
      <c r="B24" s="27"/>
      <c r="C24" s="47"/>
      <c r="D24" s="47"/>
      <c r="E24" s="47">
        <f t="shared" si="1"/>
        <v>40963</v>
      </c>
      <c r="F24" s="44">
        <v>44308</v>
      </c>
      <c r="G24" s="27">
        <v>45840</v>
      </c>
      <c r="H24" s="25">
        <f t="shared" si="0"/>
        <v>66</v>
      </c>
    </row>
    <row r="25" spans="1:8" x14ac:dyDescent="0.3">
      <c r="A25" s="23"/>
      <c r="B25" s="27"/>
      <c r="C25" s="47"/>
      <c r="D25" s="47"/>
      <c r="E25" s="47">
        <f t="shared" si="1"/>
        <v>40963</v>
      </c>
      <c r="F25" s="44">
        <v>44309</v>
      </c>
      <c r="G25" s="27">
        <v>45906</v>
      </c>
      <c r="H25" s="25">
        <f t="shared" si="0"/>
        <v>56</v>
      </c>
    </row>
    <row r="26" spans="1:8" x14ac:dyDescent="0.3">
      <c r="A26" s="23"/>
      <c r="B26" s="27"/>
      <c r="C26" s="47"/>
      <c r="D26" s="47"/>
      <c r="E26" s="47">
        <f t="shared" si="1"/>
        <v>40963</v>
      </c>
      <c r="F26" s="44">
        <v>44310</v>
      </c>
      <c r="G26" s="27">
        <v>45962</v>
      </c>
      <c r="H26" s="25">
        <f t="shared" si="0"/>
        <v>35</v>
      </c>
    </row>
    <row r="27" spans="1:8" x14ac:dyDescent="0.3">
      <c r="A27" s="23"/>
      <c r="B27" s="27"/>
      <c r="C27" s="47"/>
      <c r="D27" s="47"/>
      <c r="E27" s="47">
        <f t="shared" si="1"/>
        <v>40963</v>
      </c>
      <c r="F27" s="44">
        <v>44311</v>
      </c>
      <c r="G27" s="27">
        <v>45997</v>
      </c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40963</v>
      </c>
      <c r="F28" s="44">
        <v>44312</v>
      </c>
      <c r="G28" s="27">
        <v>45997</v>
      </c>
      <c r="H28" s="25">
        <f t="shared" si="0"/>
        <v>68</v>
      </c>
    </row>
    <row r="29" spans="1:8" x14ac:dyDescent="0.3">
      <c r="A29" s="23"/>
      <c r="B29" s="27"/>
      <c r="C29" s="47"/>
      <c r="D29" s="47"/>
      <c r="E29" s="47">
        <f t="shared" si="1"/>
        <v>40963</v>
      </c>
      <c r="F29" s="44">
        <v>44313</v>
      </c>
      <c r="G29" s="27">
        <v>46065</v>
      </c>
      <c r="H29" s="25">
        <f t="shared" si="0"/>
        <v>52</v>
      </c>
    </row>
    <row r="30" spans="1:8" x14ac:dyDescent="0.3">
      <c r="A30" s="23"/>
      <c r="B30" s="27"/>
      <c r="C30" s="47"/>
      <c r="D30" s="47"/>
      <c r="E30" s="47">
        <f t="shared" si="1"/>
        <v>40963</v>
      </c>
      <c r="F30" s="44">
        <v>44314</v>
      </c>
      <c r="G30" s="27">
        <v>46117</v>
      </c>
      <c r="H30" s="25">
        <f t="shared" si="0"/>
        <v>60</v>
      </c>
    </row>
    <row r="31" spans="1:8" x14ac:dyDescent="0.3">
      <c r="A31" s="23"/>
      <c r="B31" s="27"/>
      <c r="C31" s="47"/>
      <c r="D31" s="47"/>
      <c r="E31" s="47">
        <f t="shared" si="1"/>
        <v>40963</v>
      </c>
      <c r="F31" s="44">
        <v>44315</v>
      </c>
      <c r="G31" s="27">
        <v>46177</v>
      </c>
      <c r="H31" s="25">
        <f t="shared" si="0"/>
        <v>81</v>
      </c>
    </row>
    <row r="32" spans="1:8" x14ac:dyDescent="0.3">
      <c r="A32" s="66"/>
      <c r="B32" s="84"/>
      <c r="C32" s="68"/>
      <c r="D32" s="68"/>
      <c r="E32" s="68">
        <f t="shared" si="1"/>
        <v>40963</v>
      </c>
      <c r="F32" s="44">
        <v>44316</v>
      </c>
      <c r="G32" s="27">
        <v>46258</v>
      </c>
      <c r="H32" s="25">
        <f>+'MAY-21'!G3-'ABR-21'!G32</f>
        <v>81</v>
      </c>
    </row>
    <row r="33" spans="1:8" x14ac:dyDescent="0.3">
      <c r="A33" s="70"/>
      <c r="B33" s="88"/>
      <c r="C33" s="1"/>
      <c r="D33" s="89"/>
      <c r="E33" s="47"/>
      <c r="G33" s="27"/>
      <c r="H33" s="28" t="e">
        <f>+G34-G33</f>
        <v>#VALUE!</v>
      </c>
    </row>
    <row r="34" spans="1:8" x14ac:dyDescent="0.3">
      <c r="A34" s="70"/>
      <c r="B34" s="27" t="s">
        <v>14</v>
      </c>
      <c r="C34" s="47">
        <f>SUM(C3:C33)</f>
        <v>720000</v>
      </c>
      <c r="D34" s="47">
        <f>SUM(D3:D33)</f>
        <v>679037</v>
      </c>
      <c r="E34" s="47"/>
      <c r="G34" s="1" t="s">
        <v>6</v>
      </c>
      <c r="H34" s="28">
        <f>SUMIFS(H3:H33,H3:H33,"&gt;=0")</f>
        <v>1508</v>
      </c>
    </row>
    <row r="35" spans="1:8" x14ac:dyDescent="0.3">
      <c r="A35" s="70"/>
      <c r="B35" s="1" t="s">
        <v>7</v>
      </c>
      <c r="C35" s="105">
        <f>C34-D34</f>
        <v>40963</v>
      </c>
      <c r="D35" s="106"/>
      <c r="E35" s="47"/>
      <c r="G35" s="1" t="s">
        <v>24</v>
      </c>
      <c r="H35" s="28">
        <f>AVERAGEIF(H3:H32,"&gt;0",H3:H32)</f>
        <v>68.545454545454547</v>
      </c>
    </row>
  </sheetData>
  <mergeCells count="1">
    <mergeCell ref="A1:H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6"/>
  <sheetViews>
    <sheetView topLeftCell="A2" workbookViewId="0">
      <selection activeCell="A2" sqref="A2:H36"/>
    </sheetView>
  </sheetViews>
  <sheetFormatPr baseColWidth="10" defaultRowHeight="14.4" x14ac:dyDescent="0.3"/>
  <cols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44319</v>
      </c>
      <c r="B3" s="24" t="s">
        <v>82</v>
      </c>
      <c r="C3" s="46">
        <v>64000</v>
      </c>
      <c r="D3" s="47"/>
      <c r="E3" s="47">
        <f>+C3-D3</f>
        <v>64000</v>
      </c>
      <c r="F3" s="44">
        <v>44317</v>
      </c>
      <c r="G3" s="24">
        <v>46339</v>
      </c>
      <c r="H3" s="25">
        <f>+G4-G3</f>
        <v>133</v>
      </c>
    </row>
    <row r="4" spans="1:8" x14ac:dyDescent="0.3">
      <c r="A4" s="23">
        <v>44320</v>
      </c>
      <c r="B4" s="27" t="s">
        <v>37</v>
      </c>
      <c r="C4" s="47"/>
      <c r="D4" s="47">
        <v>3300</v>
      </c>
      <c r="E4" s="47">
        <f>E3+C4-D4</f>
        <v>60700</v>
      </c>
      <c r="F4" s="44">
        <v>44318</v>
      </c>
      <c r="G4" s="27">
        <v>46472</v>
      </c>
      <c r="H4" s="25">
        <f t="shared" ref="H4:H33" si="0">+G5-G4</f>
        <v>25</v>
      </c>
    </row>
    <row r="5" spans="1:8" x14ac:dyDescent="0.3">
      <c r="A5" s="23">
        <v>44321</v>
      </c>
      <c r="B5" s="27" t="s">
        <v>37</v>
      </c>
      <c r="C5" s="47"/>
      <c r="D5" s="47">
        <v>3300</v>
      </c>
      <c r="E5" s="47">
        <f t="shared" ref="E5:E32" si="1">E4+C5-D5</f>
        <v>57400</v>
      </c>
      <c r="F5" s="44">
        <v>44319</v>
      </c>
      <c r="G5" s="27">
        <v>46497</v>
      </c>
      <c r="H5" s="25">
        <f t="shared" si="0"/>
        <v>50</v>
      </c>
    </row>
    <row r="6" spans="1:8" x14ac:dyDescent="0.3">
      <c r="A6" s="23">
        <v>44322</v>
      </c>
      <c r="B6" s="27"/>
      <c r="C6" s="47">
        <v>200000</v>
      </c>
      <c r="D6" s="47"/>
      <c r="E6" s="47">
        <f t="shared" si="1"/>
        <v>257400</v>
      </c>
      <c r="F6" s="44">
        <v>44320</v>
      </c>
      <c r="G6" s="27">
        <v>46547</v>
      </c>
      <c r="H6" s="25">
        <f t="shared" si="0"/>
        <v>95</v>
      </c>
    </row>
    <row r="7" spans="1:8" x14ac:dyDescent="0.3">
      <c r="A7" s="23">
        <v>44323</v>
      </c>
      <c r="B7" s="27" t="s">
        <v>87</v>
      </c>
      <c r="C7" s="47"/>
      <c r="D7" s="47">
        <v>142645</v>
      </c>
      <c r="E7" s="47">
        <f t="shared" si="1"/>
        <v>114755</v>
      </c>
      <c r="F7" s="44">
        <v>44321</v>
      </c>
      <c r="G7" s="27">
        <v>46642</v>
      </c>
      <c r="H7" s="25">
        <f t="shared" si="0"/>
        <v>76</v>
      </c>
    </row>
    <row r="8" spans="1:8" x14ac:dyDescent="0.3">
      <c r="A8" s="23">
        <v>44329</v>
      </c>
      <c r="B8" s="27" t="s">
        <v>88</v>
      </c>
      <c r="C8" s="47"/>
      <c r="D8" s="47">
        <v>28560</v>
      </c>
      <c r="E8" s="47">
        <f t="shared" si="1"/>
        <v>86195</v>
      </c>
      <c r="F8" s="44">
        <v>44322</v>
      </c>
      <c r="G8" s="29">
        <v>46718</v>
      </c>
      <c r="H8" s="25">
        <f t="shared" si="0"/>
        <v>71</v>
      </c>
    </row>
    <row r="9" spans="1:8" x14ac:dyDescent="0.3">
      <c r="A9" s="18">
        <v>44329</v>
      </c>
      <c r="C9">
        <v>200000</v>
      </c>
      <c r="E9" s="47">
        <f t="shared" si="1"/>
        <v>286195</v>
      </c>
      <c r="F9" s="44">
        <v>44323</v>
      </c>
      <c r="G9" s="27">
        <v>46789</v>
      </c>
      <c r="H9" s="25">
        <f t="shared" si="0"/>
        <v>86</v>
      </c>
    </row>
    <row r="10" spans="1:8" x14ac:dyDescent="0.3">
      <c r="A10" s="23">
        <v>44330</v>
      </c>
      <c r="B10" s="27" t="s">
        <v>89</v>
      </c>
      <c r="C10" s="47"/>
      <c r="D10" s="47">
        <v>119992</v>
      </c>
      <c r="E10" s="47">
        <f t="shared" si="1"/>
        <v>166203</v>
      </c>
      <c r="F10" s="44">
        <v>44324</v>
      </c>
      <c r="G10" s="29">
        <v>46875</v>
      </c>
      <c r="H10" s="25">
        <f t="shared" si="0"/>
        <v>57</v>
      </c>
    </row>
    <row r="11" spans="1:8" x14ac:dyDescent="0.3">
      <c r="A11" s="23">
        <v>44333</v>
      </c>
      <c r="B11" s="27" t="s">
        <v>39</v>
      </c>
      <c r="C11" s="47"/>
      <c r="D11" s="47">
        <v>30000</v>
      </c>
      <c r="E11" s="47">
        <f t="shared" si="1"/>
        <v>136203</v>
      </c>
      <c r="F11" s="44">
        <v>44325</v>
      </c>
      <c r="G11" s="27">
        <v>46932</v>
      </c>
      <c r="H11" s="25">
        <f t="shared" si="0"/>
        <v>0</v>
      </c>
    </row>
    <row r="12" spans="1:8" x14ac:dyDescent="0.3">
      <c r="A12" s="23">
        <v>44336</v>
      </c>
      <c r="B12" s="27" t="s">
        <v>90</v>
      </c>
      <c r="C12" s="47"/>
      <c r="D12" s="47">
        <v>150007</v>
      </c>
      <c r="E12" s="47">
        <f t="shared" si="1"/>
        <v>-13804</v>
      </c>
      <c r="F12" s="44">
        <v>44326</v>
      </c>
      <c r="G12" s="27">
        <v>46932</v>
      </c>
      <c r="H12" s="25">
        <f t="shared" si="0"/>
        <v>36</v>
      </c>
    </row>
    <row r="13" spans="1:8" x14ac:dyDescent="0.3">
      <c r="A13" s="23">
        <v>44337</v>
      </c>
      <c r="B13" s="27"/>
      <c r="C13" s="47">
        <v>100000</v>
      </c>
      <c r="D13" s="47"/>
      <c r="E13" s="47">
        <f t="shared" si="1"/>
        <v>86196</v>
      </c>
      <c r="F13" s="44">
        <v>44327</v>
      </c>
      <c r="G13" s="27">
        <v>46968</v>
      </c>
      <c r="H13" s="25">
        <f t="shared" si="0"/>
        <v>26</v>
      </c>
    </row>
    <row r="14" spans="1:8" x14ac:dyDescent="0.3">
      <c r="A14" s="23">
        <v>44337</v>
      </c>
      <c r="B14" s="27" t="s">
        <v>91</v>
      </c>
      <c r="C14" s="47"/>
      <c r="D14" s="47">
        <v>50000</v>
      </c>
      <c r="E14" s="47">
        <f t="shared" si="1"/>
        <v>36196</v>
      </c>
      <c r="F14" s="44">
        <v>44328</v>
      </c>
      <c r="G14" s="27">
        <v>46994</v>
      </c>
      <c r="H14" s="25">
        <f t="shared" si="0"/>
        <v>98</v>
      </c>
    </row>
    <row r="15" spans="1:8" x14ac:dyDescent="0.3">
      <c r="A15" s="23">
        <v>44337</v>
      </c>
      <c r="B15" s="27" t="s">
        <v>41</v>
      </c>
      <c r="C15" s="47"/>
      <c r="D15" s="47">
        <v>20000</v>
      </c>
      <c r="E15" s="47">
        <f t="shared" si="1"/>
        <v>16196</v>
      </c>
      <c r="F15" s="44">
        <v>44329</v>
      </c>
      <c r="G15" s="27">
        <v>47092</v>
      </c>
      <c r="H15" s="25">
        <f t="shared" si="0"/>
        <v>105</v>
      </c>
    </row>
    <row r="16" spans="1:8" x14ac:dyDescent="0.3">
      <c r="A16" s="23">
        <v>44343</v>
      </c>
      <c r="B16" s="27"/>
      <c r="C16" s="47">
        <v>200000</v>
      </c>
      <c r="D16" s="47"/>
      <c r="E16" s="47">
        <f t="shared" si="1"/>
        <v>216196</v>
      </c>
      <c r="F16" s="44">
        <v>44330</v>
      </c>
      <c r="G16" s="27">
        <v>47197</v>
      </c>
      <c r="H16" s="25">
        <f t="shared" si="0"/>
        <v>55</v>
      </c>
    </row>
    <row r="17" spans="1:8" x14ac:dyDescent="0.3">
      <c r="A17" s="23">
        <v>44347</v>
      </c>
      <c r="B17" s="27" t="s">
        <v>92</v>
      </c>
      <c r="C17" s="47"/>
      <c r="D17" s="47">
        <v>71267</v>
      </c>
      <c r="E17" s="47">
        <f t="shared" si="1"/>
        <v>144929</v>
      </c>
      <c r="F17" s="44">
        <v>44331</v>
      </c>
      <c r="G17" s="27">
        <v>47252</v>
      </c>
      <c r="H17" s="25">
        <f t="shared" si="0"/>
        <v>206</v>
      </c>
    </row>
    <row r="18" spans="1:8" x14ac:dyDescent="0.3">
      <c r="A18" s="23">
        <v>44347</v>
      </c>
      <c r="B18" s="27" t="s">
        <v>37</v>
      </c>
      <c r="C18" s="47"/>
      <c r="D18" s="47">
        <v>4400</v>
      </c>
      <c r="E18" s="47">
        <f t="shared" si="1"/>
        <v>140529</v>
      </c>
      <c r="F18" s="44">
        <v>44332</v>
      </c>
      <c r="G18" s="27">
        <v>47458</v>
      </c>
      <c r="H18" s="25">
        <f t="shared" si="0"/>
        <v>109</v>
      </c>
    </row>
    <row r="19" spans="1:8" x14ac:dyDescent="0.3">
      <c r="A19" s="23"/>
      <c r="B19" s="27"/>
      <c r="C19" s="47"/>
      <c r="D19" s="47"/>
      <c r="E19" s="47">
        <f t="shared" si="1"/>
        <v>140529</v>
      </c>
      <c r="F19" s="44">
        <v>44333</v>
      </c>
      <c r="G19" s="27">
        <v>47567</v>
      </c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140529</v>
      </c>
      <c r="F20" s="44">
        <v>44334</v>
      </c>
      <c r="G20" s="27">
        <v>47567</v>
      </c>
      <c r="H20" s="25">
        <f t="shared" si="0"/>
        <v>39</v>
      </c>
    </row>
    <row r="21" spans="1:8" x14ac:dyDescent="0.3">
      <c r="A21" s="23"/>
      <c r="B21" s="27"/>
      <c r="C21" s="47"/>
      <c r="D21" s="47"/>
      <c r="E21" s="47">
        <f t="shared" si="1"/>
        <v>140529</v>
      </c>
      <c r="F21" s="44">
        <v>44335</v>
      </c>
      <c r="G21" s="27">
        <v>47606</v>
      </c>
      <c r="H21" s="25">
        <f t="shared" si="0"/>
        <v>21</v>
      </c>
    </row>
    <row r="22" spans="1:8" x14ac:dyDescent="0.3">
      <c r="A22" s="23"/>
      <c r="B22" s="27"/>
      <c r="C22" s="47"/>
      <c r="D22" s="47"/>
      <c r="E22" s="47">
        <f t="shared" si="1"/>
        <v>140529</v>
      </c>
      <c r="F22" s="44">
        <v>44336</v>
      </c>
      <c r="G22" s="27">
        <v>47627</v>
      </c>
      <c r="H22" s="25">
        <f t="shared" si="0"/>
        <v>86</v>
      </c>
    </row>
    <row r="23" spans="1:8" x14ac:dyDescent="0.3">
      <c r="A23" s="23"/>
      <c r="B23" s="27"/>
      <c r="C23" s="47"/>
      <c r="D23" s="47"/>
      <c r="E23" s="47">
        <f t="shared" si="1"/>
        <v>140529</v>
      </c>
      <c r="F23" s="44">
        <v>44337</v>
      </c>
      <c r="G23" s="27">
        <v>47713</v>
      </c>
      <c r="H23" s="25">
        <f t="shared" si="0"/>
        <v>37</v>
      </c>
    </row>
    <row r="24" spans="1:8" x14ac:dyDescent="0.3">
      <c r="A24" s="23"/>
      <c r="B24" s="27"/>
      <c r="C24" s="47"/>
      <c r="D24" s="47"/>
      <c r="E24" s="47">
        <f t="shared" si="1"/>
        <v>140529</v>
      </c>
      <c r="F24" s="44">
        <v>44338</v>
      </c>
      <c r="G24" s="27">
        <v>47750</v>
      </c>
      <c r="H24" s="25">
        <f t="shared" si="0"/>
        <v>3</v>
      </c>
    </row>
    <row r="25" spans="1:8" x14ac:dyDescent="0.3">
      <c r="A25" s="23"/>
      <c r="B25" s="27"/>
      <c r="C25" s="47"/>
      <c r="D25" s="47"/>
      <c r="E25" s="47">
        <f t="shared" si="1"/>
        <v>140529</v>
      </c>
      <c r="F25" s="44">
        <v>44339</v>
      </c>
      <c r="G25" s="27">
        <v>47753</v>
      </c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140529</v>
      </c>
      <c r="F26" s="44">
        <v>44340</v>
      </c>
      <c r="G26" s="27">
        <v>47753</v>
      </c>
      <c r="H26" s="25">
        <f t="shared" si="0"/>
        <v>39</v>
      </c>
    </row>
    <row r="27" spans="1:8" x14ac:dyDescent="0.3">
      <c r="A27" s="23"/>
      <c r="B27" s="27"/>
      <c r="C27" s="47"/>
      <c r="D27" s="47"/>
      <c r="E27" s="47">
        <f t="shared" si="1"/>
        <v>140529</v>
      </c>
      <c r="F27" s="44">
        <v>44341</v>
      </c>
      <c r="G27" s="27">
        <v>47792</v>
      </c>
      <c r="H27" s="25">
        <f t="shared" si="0"/>
        <v>88</v>
      </c>
    </row>
    <row r="28" spans="1:8" x14ac:dyDescent="0.3">
      <c r="A28" s="23"/>
      <c r="B28" s="27"/>
      <c r="C28" s="47"/>
      <c r="D28" s="47"/>
      <c r="E28" s="47">
        <f t="shared" si="1"/>
        <v>140529</v>
      </c>
      <c r="F28" s="44">
        <v>44342</v>
      </c>
      <c r="G28" s="27">
        <v>47880</v>
      </c>
      <c r="H28" s="25">
        <f t="shared" si="0"/>
        <v>70</v>
      </c>
    </row>
    <row r="29" spans="1:8" x14ac:dyDescent="0.3">
      <c r="A29" s="23"/>
      <c r="B29" s="27"/>
      <c r="C29" s="47"/>
      <c r="D29" s="47"/>
      <c r="E29" s="47">
        <f t="shared" si="1"/>
        <v>140529</v>
      </c>
      <c r="F29" s="44">
        <v>44343</v>
      </c>
      <c r="G29" s="27">
        <v>47950</v>
      </c>
      <c r="H29" s="25">
        <f t="shared" si="0"/>
        <v>112</v>
      </c>
    </row>
    <row r="30" spans="1:8" x14ac:dyDescent="0.3">
      <c r="A30" s="23"/>
      <c r="B30" s="27"/>
      <c r="C30" s="47"/>
      <c r="D30" s="47"/>
      <c r="E30" s="47">
        <f t="shared" si="1"/>
        <v>140529</v>
      </c>
      <c r="F30" s="44">
        <v>44344</v>
      </c>
      <c r="G30" s="27">
        <v>48062</v>
      </c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140529</v>
      </c>
      <c r="F31" s="44">
        <v>44345</v>
      </c>
      <c r="G31" s="27">
        <v>48062</v>
      </c>
      <c r="H31" s="25">
        <f t="shared" si="0"/>
        <v>0</v>
      </c>
    </row>
    <row r="32" spans="1:8" x14ac:dyDescent="0.3">
      <c r="A32" s="66"/>
      <c r="B32" s="84"/>
      <c r="C32" s="68"/>
      <c r="D32" s="68"/>
      <c r="E32" s="47">
        <f t="shared" si="1"/>
        <v>140529</v>
      </c>
      <c r="F32" s="44">
        <v>44346</v>
      </c>
      <c r="G32" s="27">
        <v>48062</v>
      </c>
      <c r="H32" s="25">
        <f t="shared" si="0"/>
        <v>367</v>
      </c>
    </row>
    <row r="33" spans="1:8" x14ac:dyDescent="0.3">
      <c r="A33" s="92"/>
      <c r="B33" s="84"/>
      <c r="C33" s="68"/>
      <c r="D33" s="68"/>
      <c r="E33" s="68"/>
      <c r="F33" s="44">
        <v>44347</v>
      </c>
      <c r="G33" s="27">
        <v>48429</v>
      </c>
      <c r="H33" s="25">
        <f t="shared" si="0"/>
        <v>33</v>
      </c>
    </row>
    <row r="34" spans="1:8" x14ac:dyDescent="0.3">
      <c r="A34" s="70"/>
      <c r="B34" s="88"/>
      <c r="C34" s="1"/>
      <c r="D34" s="89"/>
      <c r="E34" s="47"/>
      <c r="G34" s="27">
        <v>48462</v>
      </c>
      <c r="H34" s="28">
        <v>0</v>
      </c>
    </row>
    <row r="35" spans="1:8" x14ac:dyDescent="0.3">
      <c r="A35" s="70"/>
      <c r="B35" s="27" t="s">
        <v>14</v>
      </c>
      <c r="C35" s="47">
        <f>SUM(C3:C34)</f>
        <v>764000</v>
      </c>
      <c r="D35" s="47">
        <f>SUM(D3:D34)</f>
        <v>623471</v>
      </c>
      <c r="E35" s="47"/>
      <c r="G35" s="1" t="s">
        <v>6</v>
      </c>
      <c r="H35" s="28">
        <f>SUMIFS(H3:H34,H3:H34,"&gt;=0")</f>
        <v>2123</v>
      </c>
    </row>
    <row r="36" spans="1:8" x14ac:dyDescent="0.3">
      <c r="A36" s="70"/>
      <c r="B36" s="1" t="s">
        <v>7</v>
      </c>
      <c r="C36" s="105">
        <f>C35-D35</f>
        <v>140529</v>
      </c>
      <c r="D36" s="106"/>
      <c r="E36" s="47"/>
      <c r="G36" s="1" t="s">
        <v>24</v>
      </c>
      <c r="H36" s="28">
        <f>AVERAGEIF(H3:H32,"&gt;0",H3:H32)</f>
        <v>83.6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6"/>
  <sheetViews>
    <sheetView topLeftCell="A27" zoomScale="110" zoomScaleNormal="110" workbookViewId="0">
      <selection activeCell="H36" sqref="H36"/>
    </sheetView>
  </sheetViews>
  <sheetFormatPr baseColWidth="10" defaultRowHeight="14.4" x14ac:dyDescent="0.3"/>
  <cols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44350</v>
      </c>
      <c r="B3" s="24" t="s">
        <v>9</v>
      </c>
      <c r="C3" s="46"/>
      <c r="D3" s="47">
        <v>11300</v>
      </c>
      <c r="E3" s="47">
        <f>+C3-D3</f>
        <v>-11300</v>
      </c>
      <c r="F3" s="44">
        <v>44348</v>
      </c>
      <c r="G3" s="24">
        <v>48462</v>
      </c>
      <c r="H3" s="25">
        <f>+G4-G3</f>
        <v>55</v>
      </c>
    </row>
    <row r="4" spans="1:8" x14ac:dyDescent="0.3">
      <c r="A4" s="23">
        <v>44350</v>
      </c>
      <c r="B4" s="27" t="s">
        <v>9</v>
      </c>
      <c r="C4" s="47"/>
      <c r="D4" s="47">
        <v>11300</v>
      </c>
      <c r="E4" s="47">
        <f>E3+C4-D4</f>
        <v>-22600</v>
      </c>
      <c r="F4" s="44">
        <v>44349</v>
      </c>
      <c r="G4" s="27">
        <v>48517</v>
      </c>
      <c r="H4" s="25">
        <f t="shared" ref="H4:H33" si="0">+G5-G4</f>
        <v>47</v>
      </c>
    </row>
    <row r="5" spans="1:8" x14ac:dyDescent="0.3">
      <c r="A5" s="23">
        <v>44351</v>
      </c>
      <c r="B5" s="27" t="s">
        <v>12</v>
      </c>
      <c r="C5" s="47"/>
      <c r="D5" s="47">
        <v>3800</v>
      </c>
      <c r="E5" s="47">
        <f t="shared" ref="E5:E32" si="1">E4+C5-D5</f>
        <v>-26400</v>
      </c>
      <c r="F5" s="44">
        <v>44350</v>
      </c>
      <c r="G5" s="27">
        <v>48564</v>
      </c>
      <c r="H5" s="25">
        <f t="shared" si="0"/>
        <v>120</v>
      </c>
    </row>
    <row r="6" spans="1:8" x14ac:dyDescent="0.3">
      <c r="A6" s="23">
        <v>44354</v>
      </c>
      <c r="B6" s="27" t="s">
        <v>82</v>
      </c>
      <c r="C6" s="47">
        <v>500000</v>
      </c>
      <c r="D6" s="47"/>
      <c r="E6" s="47">
        <f t="shared" si="1"/>
        <v>473600</v>
      </c>
      <c r="F6" s="44">
        <v>44351</v>
      </c>
      <c r="G6" s="27">
        <v>48684</v>
      </c>
      <c r="H6" s="25">
        <f t="shared" si="0"/>
        <v>101</v>
      </c>
    </row>
    <row r="7" spans="1:8" x14ac:dyDescent="0.3">
      <c r="A7" s="23">
        <v>44355</v>
      </c>
      <c r="B7" s="27" t="s">
        <v>93</v>
      </c>
      <c r="C7" s="47"/>
      <c r="D7" s="47">
        <v>139989</v>
      </c>
      <c r="E7" s="47">
        <f t="shared" si="1"/>
        <v>333611</v>
      </c>
      <c r="F7" s="44">
        <v>44352</v>
      </c>
      <c r="G7" s="27">
        <v>48785</v>
      </c>
      <c r="H7" s="25">
        <f t="shared" si="0"/>
        <v>13</v>
      </c>
    </row>
    <row r="8" spans="1:8" x14ac:dyDescent="0.3">
      <c r="A8" s="23">
        <v>44355</v>
      </c>
      <c r="B8" s="27" t="s">
        <v>9</v>
      </c>
      <c r="C8" s="47"/>
      <c r="D8" s="47">
        <v>11300</v>
      </c>
      <c r="E8" s="47">
        <f t="shared" si="1"/>
        <v>322311</v>
      </c>
      <c r="F8" s="44">
        <v>44353</v>
      </c>
      <c r="G8" s="29">
        <v>48798</v>
      </c>
      <c r="H8" s="25">
        <f t="shared" si="0"/>
        <v>69</v>
      </c>
    </row>
    <row r="9" spans="1:8" x14ac:dyDescent="0.3">
      <c r="A9" s="23">
        <v>44355</v>
      </c>
      <c r="B9" s="27" t="s">
        <v>9</v>
      </c>
      <c r="C9" s="47"/>
      <c r="D9" s="47">
        <v>11300</v>
      </c>
      <c r="E9" s="47">
        <f t="shared" si="1"/>
        <v>311011</v>
      </c>
      <c r="F9" s="44">
        <v>44354</v>
      </c>
      <c r="G9" s="27">
        <v>48867</v>
      </c>
      <c r="H9" s="25">
        <f t="shared" si="0"/>
        <v>0</v>
      </c>
    </row>
    <row r="10" spans="1:8" x14ac:dyDescent="0.3">
      <c r="A10" s="23">
        <v>44356</v>
      </c>
      <c r="B10" s="27" t="s">
        <v>94</v>
      </c>
      <c r="C10" s="47"/>
      <c r="D10" s="47">
        <v>50000</v>
      </c>
      <c r="E10" s="47">
        <f t="shared" si="1"/>
        <v>261011</v>
      </c>
      <c r="F10" s="44">
        <v>44355</v>
      </c>
      <c r="G10" s="29">
        <v>48867</v>
      </c>
      <c r="H10" s="25">
        <f t="shared" si="0"/>
        <v>112</v>
      </c>
    </row>
    <row r="11" spans="1:8" x14ac:dyDescent="0.3">
      <c r="A11" s="23">
        <v>44356</v>
      </c>
      <c r="B11" s="27" t="s">
        <v>12</v>
      </c>
      <c r="C11" s="47"/>
      <c r="D11" s="47">
        <v>5000</v>
      </c>
      <c r="E11" s="47">
        <f t="shared" si="1"/>
        <v>256011</v>
      </c>
      <c r="F11" s="44">
        <v>44356</v>
      </c>
      <c r="G11" s="27">
        <v>48979</v>
      </c>
      <c r="H11" s="25">
        <f t="shared" si="0"/>
        <v>144</v>
      </c>
    </row>
    <row r="12" spans="1:8" x14ac:dyDescent="0.3">
      <c r="A12" s="23">
        <v>44359</v>
      </c>
      <c r="B12" s="27" t="s">
        <v>12</v>
      </c>
      <c r="C12" s="47"/>
      <c r="D12" s="47">
        <v>4700</v>
      </c>
      <c r="E12" s="47">
        <f t="shared" si="1"/>
        <v>251311</v>
      </c>
      <c r="F12" s="44">
        <v>44357</v>
      </c>
      <c r="G12" s="27">
        <v>49123</v>
      </c>
      <c r="H12" s="25">
        <f t="shared" si="0"/>
        <v>52</v>
      </c>
    </row>
    <row r="13" spans="1:8" x14ac:dyDescent="0.3">
      <c r="A13" s="23">
        <v>44362</v>
      </c>
      <c r="B13" s="27" t="s">
        <v>96</v>
      </c>
      <c r="C13" s="47"/>
      <c r="D13" s="47">
        <v>149943</v>
      </c>
      <c r="E13" s="47">
        <f t="shared" si="1"/>
        <v>101368</v>
      </c>
      <c r="F13" s="44">
        <v>44358</v>
      </c>
      <c r="G13" s="27">
        <v>49175</v>
      </c>
      <c r="H13" s="25">
        <f t="shared" si="0"/>
        <v>71</v>
      </c>
    </row>
    <row r="14" spans="1:8" x14ac:dyDescent="0.3">
      <c r="A14" s="23">
        <v>44363</v>
      </c>
      <c r="B14" s="69" t="s">
        <v>9</v>
      </c>
      <c r="C14" s="47"/>
      <c r="D14" s="47">
        <v>11300</v>
      </c>
      <c r="E14" s="47">
        <f t="shared" si="1"/>
        <v>90068</v>
      </c>
      <c r="F14" s="44">
        <v>44359</v>
      </c>
      <c r="G14" s="27">
        <v>49246</v>
      </c>
      <c r="H14" s="25">
        <f t="shared" si="0"/>
        <v>0</v>
      </c>
    </row>
    <row r="15" spans="1:8" x14ac:dyDescent="0.3">
      <c r="A15" s="23">
        <v>44357</v>
      </c>
      <c r="B15" s="27" t="s">
        <v>12</v>
      </c>
      <c r="C15" s="47"/>
      <c r="D15" s="47">
        <v>3300</v>
      </c>
      <c r="E15" s="47">
        <f t="shared" si="1"/>
        <v>86768</v>
      </c>
      <c r="F15" s="44">
        <v>44360</v>
      </c>
      <c r="G15" s="27">
        <v>49246</v>
      </c>
      <c r="H15" s="25">
        <f t="shared" si="0"/>
        <v>32</v>
      </c>
    </row>
    <row r="16" spans="1:8" x14ac:dyDescent="0.3">
      <c r="A16" s="23">
        <v>44370</v>
      </c>
      <c r="B16" s="27" t="s">
        <v>108</v>
      </c>
      <c r="C16" s="47"/>
      <c r="D16" s="47">
        <v>50000</v>
      </c>
      <c r="E16" s="47">
        <f t="shared" si="1"/>
        <v>36768</v>
      </c>
      <c r="F16" s="44">
        <v>44361</v>
      </c>
      <c r="G16" s="27">
        <v>49278</v>
      </c>
      <c r="H16" s="25">
        <f t="shared" si="0"/>
        <v>11</v>
      </c>
    </row>
    <row r="17" spans="1:8" x14ac:dyDescent="0.3">
      <c r="A17" s="23">
        <v>44372</v>
      </c>
      <c r="B17" s="27" t="s">
        <v>109</v>
      </c>
      <c r="C17" s="47"/>
      <c r="D17" s="47">
        <v>50000</v>
      </c>
      <c r="E17" s="47">
        <f t="shared" si="1"/>
        <v>-13232</v>
      </c>
      <c r="F17" s="44">
        <v>44362</v>
      </c>
      <c r="G17" s="27">
        <v>49289</v>
      </c>
      <c r="H17" s="25">
        <f t="shared" si="0"/>
        <v>113</v>
      </c>
    </row>
    <row r="18" spans="1:8" x14ac:dyDescent="0.3">
      <c r="A18" s="23"/>
      <c r="B18" s="27"/>
      <c r="C18" s="47"/>
      <c r="D18" s="47"/>
      <c r="E18" s="47">
        <f t="shared" si="1"/>
        <v>-13232</v>
      </c>
      <c r="F18" s="44">
        <v>44363</v>
      </c>
      <c r="G18" s="27">
        <v>49402</v>
      </c>
      <c r="H18" s="25">
        <f t="shared" si="0"/>
        <v>92</v>
      </c>
    </row>
    <row r="19" spans="1:8" x14ac:dyDescent="0.3">
      <c r="A19" s="23"/>
      <c r="B19" s="27"/>
      <c r="C19" s="47"/>
      <c r="D19" s="47"/>
      <c r="E19" s="47">
        <f t="shared" si="1"/>
        <v>-13232</v>
      </c>
      <c r="F19" s="44">
        <v>44364</v>
      </c>
      <c r="G19" s="27">
        <v>49494</v>
      </c>
      <c r="H19" s="25">
        <f t="shared" si="0"/>
        <v>24</v>
      </c>
    </row>
    <row r="20" spans="1:8" x14ac:dyDescent="0.3">
      <c r="A20" s="23"/>
      <c r="B20" s="27"/>
      <c r="C20" s="47"/>
      <c r="D20" s="47"/>
      <c r="E20" s="47">
        <f t="shared" si="1"/>
        <v>-13232</v>
      </c>
      <c r="F20" s="44">
        <v>44365</v>
      </c>
      <c r="G20" s="27">
        <v>49518</v>
      </c>
      <c r="H20" s="25">
        <f t="shared" si="0"/>
        <v>74</v>
      </c>
    </row>
    <row r="21" spans="1:8" x14ac:dyDescent="0.3">
      <c r="A21" s="23"/>
      <c r="B21" s="27"/>
      <c r="C21" s="47"/>
      <c r="D21" s="47"/>
      <c r="E21" s="47">
        <f t="shared" si="1"/>
        <v>-13232</v>
      </c>
      <c r="F21" s="44">
        <v>44366</v>
      </c>
      <c r="G21" s="27">
        <v>49592</v>
      </c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-13232</v>
      </c>
      <c r="F22" s="44">
        <v>44367</v>
      </c>
      <c r="G22" s="27">
        <v>49592</v>
      </c>
      <c r="H22" s="25">
        <f t="shared" si="0"/>
        <v>23</v>
      </c>
    </row>
    <row r="23" spans="1:8" x14ac:dyDescent="0.3">
      <c r="A23" s="23"/>
      <c r="B23" s="27"/>
      <c r="C23" s="47"/>
      <c r="D23" s="47"/>
      <c r="E23" s="47">
        <f t="shared" si="1"/>
        <v>-13232</v>
      </c>
      <c r="F23" s="44">
        <v>44368</v>
      </c>
      <c r="G23" s="27">
        <v>49615</v>
      </c>
      <c r="H23" s="25">
        <f t="shared" si="0"/>
        <v>69</v>
      </c>
    </row>
    <row r="24" spans="1:8" x14ac:dyDescent="0.3">
      <c r="A24" s="23"/>
      <c r="B24" s="27"/>
      <c r="C24" s="47"/>
      <c r="D24" s="47"/>
      <c r="E24" s="47">
        <f t="shared" si="1"/>
        <v>-13232</v>
      </c>
      <c r="F24" s="44">
        <v>44369</v>
      </c>
      <c r="G24" s="27">
        <v>49684</v>
      </c>
      <c r="H24" s="25">
        <f t="shared" si="0"/>
        <v>62</v>
      </c>
    </row>
    <row r="25" spans="1:8" x14ac:dyDescent="0.3">
      <c r="A25" s="23"/>
      <c r="B25" s="27"/>
      <c r="C25" s="47"/>
      <c r="D25" s="47"/>
      <c r="E25" s="47">
        <f t="shared" si="1"/>
        <v>-13232</v>
      </c>
      <c r="F25" s="44">
        <v>44370</v>
      </c>
      <c r="G25" s="27">
        <v>49746</v>
      </c>
      <c r="H25" s="25">
        <f t="shared" si="0"/>
        <v>71</v>
      </c>
    </row>
    <row r="26" spans="1:8" x14ac:dyDescent="0.3">
      <c r="A26" s="23"/>
      <c r="B26" s="27"/>
      <c r="C26" s="47"/>
      <c r="D26" s="47"/>
      <c r="E26" s="47">
        <f t="shared" si="1"/>
        <v>-13232</v>
      </c>
      <c r="F26" s="44">
        <v>44371</v>
      </c>
      <c r="G26" s="27">
        <v>49817</v>
      </c>
      <c r="H26" s="25">
        <f t="shared" si="0"/>
        <v>173</v>
      </c>
    </row>
    <row r="27" spans="1:8" x14ac:dyDescent="0.3">
      <c r="A27" s="23"/>
      <c r="B27" s="27"/>
      <c r="C27" s="47"/>
      <c r="D27" s="47"/>
      <c r="E27" s="47">
        <f t="shared" si="1"/>
        <v>-13232</v>
      </c>
      <c r="F27" s="44">
        <v>44372</v>
      </c>
      <c r="G27" s="27">
        <v>49990</v>
      </c>
      <c r="H27" s="25">
        <f t="shared" si="0"/>
        <v>-49990</v>
      </c>
    </row>
    <row r="28" spans="1:8" x14ac:dyDescent="0.3">
      <c r="A28" s="23"/>
      <c r="B28" s="27"/>
      <c r="C28" s="47"/>
      <c r="D28" s="47"/>
      <c r="E28" s="47">
        <f t="shared" si="1"/>
        <v>-13232</v>
      </c>
      <c r="F28" s="44">
        <v>44373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-13232</v>
      </c>
      <c r="F29" s="44">
        <v>44374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-13232</v>
      </c>
      <c r="F30" s="44">
        <v>44375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-13232</v>
      </c>
      <c r="F31" s="44">
        <v>44376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-13232</v>
      </c>
      <c r="F32" s="44">
        <v>44377</v>
      </c>
      <c r="G32" s="27"/>
      <c r="H32" s="25">
        <f t="shared" si="0"/>
        <v>0</v>
      </c>
    </row>
    <row r="33" spans="1:8" x14ac:dyDescent="0.3">
      <c r="A33" s="92"/>
      <c r="B33" s="84"/>
      <c r="C33" s="68"/>
      <c r="D33" s="68"/>
      <c r="E33" s="68"/>
      <c r="F33" s="44"/>
      <c r="G33" s="27"/>
      <c r="H33" s="25">
        <f t="shared" si="0"/>
        <v>0</v>
      </c>
    </row>
    <row r="34" spans="1:8" x14ac:dyDescent="0.3">
      <c r="A34" s="70"/>
      <c r="B34" s="88"/>
      <c r="C34" s="1"/>
      <c r="D34" s="89"/>
      <c r="E34" s="47"/>
      <c r="G34" s="27"/>
      <c r="H34" s="28" t="e">
        <f>+G35-G34</f>
        <v>#VALUE!</v>
      </c>
    </row>
    <row r="35" spans="1:8" x14ac:dyDescent="0.3">
      <c r="A35" s="70"/>
      <c r="B35" s="27" t="s">
        <v>14</v>
      </c>
      <c r="C35" s="47">
        <f>SUM(C3:C34)</f>
        <v>500000</v>
      </c>
      <c r="D35" s="47">
        <f>SUM(D3:D34)</f>
        <v>513232</v>
      </c>
      <c r="E35" s="47"/>
      <c r="G35" s="1" t="s">
        <v>6</v>
      </c>
      <c r="H35" s="28">
        <f>SUMIFS(H3:H34,H3:H34,"&gt;=0")</f>
        <v>1528</v>
      </c>
    </row>
    <row r="36" spans="1:8" x14ac:dyDescent="0.3">
      <c r="A36" s="70"/>
      <c r="B36" s="1" t="s">
        <v>7</v>
      </c>
      <c r="C36" s="105">
        <f>C35-D35</f>
        <v>-13232</v>
      </c>
      <c r="D36" s="106"/>
      <c r="E36" s="47"/>
      <c r="G36" s="1" t="s">
        <v>24</v>
      </c>
      <c r="H36" s="28">
        <f>AVERAGEIF(H3:H32,"&gt;0",H3:H32)</f>
        <v>72.761904761904759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6"/>
  <sheetViews>
    <sheetView topLeftCell="A16" workbookViewId="0">
      <selection activeCell="G35" sqref="G35"/>
    </sheetView>
  </sheetViews>
  <sheetFormatPr baseColWidth="10" defaultRowHeight="14.4" x14ac:dyDescent="0.3"/>
  <cols>
    <col min="7" max="7" width="1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44379</v>
      </c>
      <c r="B3" s="24"/>
      <c r="C3" s="46">
        <v>500000</v>
      </c>
      <c r="D3" s="47"/>
      <c r="E3" s="47">
        <f>+C3-D3</f>
        <v>500000</v>
      </c>
      <c r="F3" s="44">
        <v>44378</v>
      </c>
      <c r="G3" s="24">
        <v>50444</v>
      </c>
      <c r="H3" s="25">
        <f>+G4-G3</f>
        <v>80</v>
      </c>
    </row>
    <row r="4" spans="1:8" x14ac:dyDescent="0.3">
      <c r="A4" s="23">
        <v>44380</v>
      </c>
      <c r="B4" s="27" t="s">
        <v>110</v>
      </c>
      <c r="C4" s="47"/>
      <c r="D4" s="47">
        <v>404591</v>
      </c>
      <c r="E4" s="47">
        <f>E3+C4-D4</f>
        <v>95409</v>
      </c>
      <c r="F4" s="44">
        <v>44379</v>
      </c>
      <c r="G4" s="27">
        <v>50524</v>
      </c>
      <c r="H4" s="25">
        <f t="shared" ref="H4:H34" si="0">+G5-G4</f>
        <v>120</v>
      </c>
    </row>
    <row r="5" spans="1:8" x14ac:dyDescent="0.3">
      <c r="A5" s="23">
        <v>44382</v>
      </c>
      <c r="B5" s="27" t="s">
        <v>111</v>
      </c>
      <c r="C5" s="47"/>
      <c r="D5" s="47">
        <v>100000</v>
      </c>
      <c r="E5" s="47">
        <f t="shared" ref="E5:E32" si="1">E4+C5-D5</f>
        <v>-4591</v>
      </c>
      <c r="F5" s="44">
        <v>44380</v>
      </c>
      <c r="G5" s="27">
        <v>50644</v>
      </c>
      <c r="H5" s="25">
        <f t="shared" si="0"/>
        <v>45</v>
      </c>
    </row>
    <row r="6" spans="1:8" x14ac:dyDescent="0.3">
      <c r="A6" s="23">
        <v>44388</v>
      </c>
      <c r="B6" s="27"/>
      <c r="C6" s="47">
        <v>200000</v>
      </c>
      <c r="D6" s="47"/>
      <c r="E6" s="47">
        <f t="shared" si="1"/>
        <v>195409</v>
      </c>
      <c r="F6" s="44">
        <v>44381</v>
      </c>
      <c r="G6" s="27">
        <v>50689</v>
      </c>
      <c r="H6" s="25">
        <f t="shared" si="0"/>
        <v>0</v>
      </c>
    </row>
    <row r="7" spans="1:8" x14ac:dyDescent="0.3">
      <c r="A7" s="23">
        <v>44389</v>
      </c>
      <c r="B7" s="27" t="s">
        <v>112</v>
      </c>
      <c r="C7" s="47"/>
      <c r="D7" s="47">
        <v>136090</v>
      </c>
      <c r="E7" s="47">
        <f t="shared" si="1"/>
        <v>59319</v>
      </c>
      <c r="F7" s="44">
        <v>44382</v>
      </c>
      <c r="G7" s="27">
        <v>50689</v>
      </c>
      <c r="H7" s="25">
        <f t="shared" si="0"/>
        <v>51</v>
      </c>
    </row>
    <row r="8" spans="1:8" x14ac:dyDescent="0.3">
      <c r="A8" s="23">
        <v>44383</v>
      </c>
      <c r="B8" s="27" t="s">
        <v>37</v>
      </c>
      <c r="C8" s="47"/>
      <c r="D8" s="47">
        <v>3400</v>
      </c>
      <c r="E8" s="47">
        <f t="shared" si="1"/>
        <v>55919</v>
      </c>
      <c r="F8" s="44">
        <v>44383</v>
      </c>
      <c r="G8" s="29">
        <v>50740</v>
      </c>
      <c r="H8" s="25">
        <f t="shared" si="0"/>
        <v>77</v>
      </c>
    </row>
    <row r="9" spans="1:8" x14ac:dyDescent="0.3">
      <c r="A9" s="23">
        <v>44400</v>
      </c>
      <c r="B9" s="27"/>
      <c r="C9" s="47">
        <v>200000</v>
      </c>
      <c r="D9" s="47"/>
      <c r="E9" s="47">
        <f t="shared" si="1"/>
        <v>255919</v>
      </c>
      <c r="F9" s="44">
        <v>44384</v>
      </c>
      <c r="G9" s="27">
        <v>50817</v>
      </c>
      <c r="H9" s="25">
        <f t="shared" si="0"/>
        <v>94</v>
      </c>
    </row>
    <row r="10" spans="1:8" x14ac:dyDescent="0.3">
      <c r="A10" s="23">
        <v>44400</v>
      </c>
      <c r="B10" s="27"/>
      <c r="C10" s="47">
        <v>50000</v>
      </c>
      <c r="D10" s="47"/>
      <c r="E10" s="47">
        <f t="shared" si="1"/>
        <v>305919</v>
      </c>
      <c r="F10" s="44">
        <v>44385</v>
      </c>
      <c r="G10" s="29">
        <v>50911</v>
      </c>
      <c r="H10" s="25">
        <f t="shared" si="0"/>
        <v>22</v>
      </c>
    </row>
    <row r="11" spans="1:8" x14ac:dyDescent="0.3">
      <c r="A11" s="23">
        <v>44400</v>
      </c>
      <c r="B11" s="27" t="s">
        <v>113</v>
      </c>
      <c r="C11" s="47"/>
      <c r="D11" s="47">
        <v>150046</v>
      </c>
      <c r="E11" s="47">
        <f t="shared" si="1"/>
        <v>155873</v>
      </c>
      <c r="F11" s="44">
        <v>44386</v>
      </c>
      <c r="G11" s="27">
        <v>50933</v>
      </c>
      <c r="H11" s="25">
        <f t="shared" si="0"/>
        <v>71</v>
      </c>
    </row>
    <row r="12" spans="1:8" x14ac:dyDescent="0.3">
      <c r="A12" s="23">
        <v>44403</v>
      </c>
      <c r="B12" s="27" t="s">
        <v>41</v>
      </c>
      <c r="C12" s="47"/>
      <c r="D12" s="47">
        <v>20000</v>
      </c>
      <c r="E12" s="47">
        <f t="shared" si="1"/>
        <v>135873</v>
      </c>
      <c r="F12" s="44">
        <v>44387</v>
      </c>
      <c r="G12" s="27">
        <v>51004</v>
      </c>
      <c r="H12" s="25">
        <f t="shared" si="0"/>
        <v>6</v>
      </c>
    </row>
    <row r="13" spans="1:8" x14ac:dyDescent="0.3">
      <c r="A13" s="23">
        <v>44406</v>
      </c>
      <c r="B13" s="27" t="s">
        <v>114</v>
      </c>
      <c r="C13" s="47"/>
      <c r="D13" s="47">
        <v>41800</v>
      </c>
      <c r="E13" s="47">
        <f t="shared" si="1"/>
        <v>94073</v>
      </c>
      <c r="F13" s="44">
        <v>44388</v>
      </c>
      <c r="G13" s="27">
        <v>51010</v>
      </c>
      <c r="H13" s="25">
        <f t="shared" si="0"/>
        <v>21</v>
      </c>
    </row>
    <row r="14" spans="1:8" x14ac:dyDescent="0.3">
      <c r="A14" s="23"/>
      <c r="B14" s="27"/>
      <c r="C14" s="47"/>
      <c r="D14" s="47"/>
      <c r="E14" s="47">
        <f t="shared" si="1"/>
        <v>94073</v>
      </c>
      <c r="F14" s="44">
        <v>44389</v>
      </c>
      <c r="G14" s="27">
        <v>51031</v>
      </c>
      <c r="H14" s="25">
        <f t="shared" si="0"/>
        <v>56</v>
      </c>
    </row>
    <row r="15" spans="1:8" x14ac:dyDescent="0.3">
      <c r="A15" s="23"/>
      <c r="B15" s="27"/>
      <c r="C15" s="47"/>
      <c r="D15" s="47"/>
      <c r="E15" s="47">
        <f t="shared" si="1"/>
        <v>94073</v>
      </c>
      <c r="F15" s="44">
        <v>44390</v>
      </c>
      <c r="G15" s="27">
        <v>51087</v>
      </c>
      <c r="H15" s="25">
        <f t="shared" si="0"/>
        <v>62</v>
      </c>
    </row>
    <row r="16" spans="1:8" x14ac:dyDescent="0.3">
      <c r="A16" s="23"/>
      <c r="B16" s="27"/>
      <c r="C16" s="47"/>
      <c r="D16" s="47"/>
      <c r="E16" s="47">
        <f t="shared" si="1"/>
        <v>94073</v>
      </c>
      <c r="F16" s="44">
        <v>44391</v>
      </c>
      <c r="G16" s="27">
        <v>51149</v>
      </c>
      <c r="H16" s="25">
        <f t="shared" si="0"/>
        <v>64</v>
      </c>
    </row>
    <row r="17" spans="1:8" x14ac:dyDescent="0.3">
      <c r="A17" s="23"/>
      <c r="B17" s="27"/>
      <c r="C17" s="47"/>
      <c r="D17" s="47"/>
      <c r="E17" s="47">
        <f t="shared" si="1"/>
        <v>94073</v>
      </c>
      <c r="F17" s="44">
        <v>44392</v>
      </c>
      <c r="G17" s="27">
        <v>51213</v>
      </c>
      <c r="H17" s="25">
        <f t="shared" si="0"/>
        <v>79</v>
      </c>
    </row>
    <row r="18" spans="1:8" x14ac:dyDescent="0.3">
      <c r="A18" s="23"/>
      <c r="B18" s="27"/>
      <c r="C18" s="47"/>
      <c r="D18" s="47"/>
      <c r="E18" s="47">
        <f t="shared" si="1"/>
        <v>94073</v>
      </c>
      <c r="F18" s="44">
        <v>44393</v>
      </c>
      <c r="G18" s="27">
        <v>51292</v>
      </c>
      <c r="H18" s="25">
        <f t="shared" si="0"/>
        <v>110</v>
      </c>
    </row>
    <row r="19" spans="1:8" x14ac:dyDescent="0.3">
      <c r="A19" s="23"/>
      <c r="B19" s="27"/>
      <c r="C19" s="47"/>
      <c r="D19" s="47"/>
      <c r="E19" s="47">
        <f t="shared" si="1"/>
        <v>94073</v>
      </c>
      <c r="F19" s="44">
        <v>44394</v>
      </c>
      <c r="G19" s="27">
        <v>51402</v>
      </c>
      <c r="H19" s="25">
        <f t="shared" si="0"/>
        <v>138</v>
      </c>
    </row>
    <row r="20" spans="1:8" x14ac:dyDescent="0.3">
      <c r="A20" s="23"/>
      <c r="B20" s="27"/>
      <c r="C20" s="47"/>
      <c r="D20" s="47"/>
      <c r="E20" s="47">
        <f t="shared" si="1"/>
        <v>94073</v>
      </c>
      <c r="F20" s="44">
        <v>44395</v>
      </c>
      <c r="G20" s="27">
        <v>51540</v>
      </c>
      <c r="H20" s="25">
        <f t="shared" si="0"/>
        <v>100</v>
      </c>
    </row>
    <row r="21" spans="1:8" x14ac:dyDescent="0.3">
      <c r="A21" s="23"/>
      <c r="B21" s="27"/>
      <c r="C21" s="47"/>
      <c r="D21" s="47"/>
      <c r="E21" s="47">
        <f t="shared" si="1"/>
        <v>94073</v>
      </c>
      <c r="F21" s="44">
        <v>44396</v>
      </c>
      <c r="G21" s="27">
        <v>51640</v>
      </c>
      <c r="H21" s="25">
        <f t="shared" si="0"/>
        <v>117</v>
      </c>
    </row>
    <row r="22" spans="1:8" x14ac:dyDescent="0.3">
      <c r="A22" s="23"/>
      <c r="B22" s="27"/>
      <c r="C22" s="47"/>
      <c r="D22" s="47"/>
      <c r="E22" s="47">
        <f t="shared" si="1"/>
        <v>94073</v>
      </c>
      <c r="F22" s="44">
        <v>44397</v>
      </c>
      <c r="G22" s="27">
        <v>51757</v>
      </c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94073</v>
      </c>
      <c r="F23" s="44">
        <v>44398</v>
      </c>
      <c r="G23" s="27">
        <v>51757</v>
      </c>
      <c r="H23" s="25">
        <f t="shared" si="0"/>
        <v>67</v>
      </c>
    </row>
    <row r="24" spans="1:8" x14ac:dyDescent="0.3">
      <c r="A24" s="23"/>
      <c r="B24" s="27"/>
      <c r="C24" s="47"/>
      <c r="D24" s="47"/>
      <c r="E24" s="47">
        <f t="shared" si="1"/>
        <v>94073</v>
      </c>
      <c r="F24" s="44">
        <v>44399</v>
      </c>
      <c r="G24" s="27">
        <v>51824</v>
      </c>
      <c r="H24" s="25">
        <f t="shared" si="0"/>
        <v>59</v>
      </c>
    </row>
    <row r="25" spans="1:8" x14ac:dyDescent="0.3">
      <c r="A25" s="23"/>
      <c r="B25" s="27"/>
      <c r="C25" s="47"/>
      <c r="D25" s="47"/>
      <c r="E25" s="47">
        <f t="shared" si="1"/>
        <v>94073</v>
      </c>
      <c r="F25" s="44">
        <v>44400</v>
      </c>
      <c r="G25" s="27">
        <v>51883</v>
      </c>
      <c r="H25" s="25">
        <f t="shared" si="0"/>
        <v>58</v>
      </c>
    </row>
    <row r="26" spans="1:8" x14ac:dyDescent="0.3">
      <c r="A26" s="23"/>
      <c r="B26" s="27"/>
      <c r="C26" s="47"/>
      <c r="D26" s="47"/>
      <c r="E26" s="47">
        <f t="shared" si="1"/>
        <v>94073</v>
      </c>
      <c r="F26" s="44">
        <v>44401</v>
      </c>
      <c r="G26" s="27">
        <v>51941</v>
      </c>
      <c r="H26" s="25">
        <f t="shared" si="0"/>
        <v>23</v>
      </c>
    </row>
    <row r="27" spans="1:8" x14ac:dyDescent="0.3">
      <c r="A27" s="23"/>
      <c r="B27" s="27"/>
      <c r="C27" s="47"/>
      <c r="D27" s="47"/>
      <c r="E27" s="47">
        <f t="shared" si="1"/>
        <v>94073</v>
      </c>
      <c r="F27" s="44">
        <v>44402</v>
      </c>
      <c r="G27" s="27">
        <v>51964</v>
      </c>
      <c r="H27" s="25">
        <f t="shared" si="0"/>
        <v>10</v>
      </c>
    </row>
    <row r="28" spans="1:8" x14ac:dyDescent="0.3">
      <c r="A28" s="23"/>
      <c r="B28" s="27"/>
      <c r="C28" s="47"/>
      <c r="D28" s="47"/>
      <c r="E28" s="47">
        <f t="shared" si="1"/>
        <v>94073</v>
      </c>
      <c r="F28" s="44">
        <v>44403</v>
      </c>
      <c r="G28" s="27">
        <v>51974</v>
      </c>
      <c r="H28" s="25">
        <f t="shared" si="0"/>
        <v>94</v>
      </c>
    </row>
    <row r="29" spans="1:8" x14ac:dyDescent="0.3">
      <c r="A29" s="23"/>
      <c r="B29" s="27"/>
      <c r="C29" s="47"/>
      <c r="D29" s="47"/>
      <c r="E29" s="47">
        <f t="shared" si="1"/>
        <v>94073</v>
      </c>
      <c r="F29" s="44">
        <v>44404</v>
      </c>
      <c r="G29" s="27">
        <v>52068</v>
      </c>
      <c r="H29" s="25">
        <f t="shared" si="0"/>
        <v>52</v>
      </c>
    </row>
    <row r="30" spans="1:8" x14ac:dyDescent="0.3">
      <c r="A30" s="23"/>
      <c r="B30" s="27"/>
      <c r="C30" s="47"/>
      <c r="D30" s="47"/>
      <c r="E30" s="47">
        <f t="shared" si="1"/>
        <v>94073</v>
      </c>
      <c r="F30" s="44">
        <v>44405</v>
      </c>
      <c r="G30" s="27">
        <v>52120</v>
      </c>
      <c r="H30" s="25">
        <f t="shared" si="0"/>
        <v>66</v>
      </c>
    </row>
    <row r="31" spans="1:8" x14ac:dyDescent="0.3">
      <c r="A31" s="23"/>
      <c r="B31" s="27"/>
      <c r="C31" s="47"/>
      <c r="D31" s="47"/>
      <c r="E31" s="47">
        <f t="shared" si="1"/>
        <v>94073</v>
      </c>
      <c r="F31" s="44">
        <v>44406</v>
      </c>
      <c r="G31" s="27">
        <v>52186</v>
      </c>
      <c r="H31" s="25">
        <f t="shared" si="0"/>
        <v>60</v>
      </c>
    </row>
    <row r="32" spans="1:8" x14ac:dyDescent="0.3">
      <c r="A32" s="66"/>
      <c r="B32" s="84"/>
      <c r="C32" s="68"/>
      <c r="D32" s="68"/>
      <c r="E32" s="68">
        <f t="shared" si="1"/>
        <v>94073</v>
      </c>
      <c r="F32" s="44">
        <v>44407</v>
      </c>
      <c r="G32" s="27">
        <v>52246</v>
      </c>
      <c r="H32" s="25">
        <f t="shared" si="0"/>
        <v>76</v>
      </c>
    </row>
    <row r="33" spans="1:8" x14ac:dyDescent="0.3">
      <c r="A33" s="92"/>
      <c r="B33" s="84"/>
      <c r="C33" s="68"/>
      <c r="D33" s="68"/>
      <c r="E33" s="68"/>
      <c r="F33" s="44">
        <v>44408</v>
      </c>
      <c r="G33" s="27">
        <v>52322</v>
      </c>
      <c r="H33" s="25">
        <f t="shared" si="0"/>
        <v>6</v>
      </c>
    </row>
    <row r="34" spans="1:8" x14ac:dyDescent="0.3">
      <c r="A34" s="70"/>
      <c r="B34" s="88"/>
      <c r="C34" s="1"/>
      <c r="D34" s="89"/>
      <c r="E34" s="47"/>
      <c r="G34" s="27">
        <v>52328</v>
      </c>
      <c r="H34" s="25" t="e">
        <f t="shared" si="0"/>
        <v>#VALUE!</v>
      </c>
    </row>
    <row r="35" spans="1:8" x14ac:dyDescent="0.3">
      <c r="A35" s="70"/>
      <c r="B35" s="27" t="s">
        <v>14</v>
      </c>
      <c r="C35" s="47">
        <f>SUM(C3:C34)</f>
        <v>950000</v>
      </c>
      <c r="D35" s="47">
        <f>SUM(D3:D34)</f>
        <v>855927</v>
      </c>
      <c r="E35" s="47"/>
      <c r="G35" s="1" t="s">
        <v>6</v>
      </c>
      <c r="H35" s="28">
        <f>SUMIFS(H3:H34,H3:H34,"&gt;=0")</f>
        <v>1884</v>
      </c>
    </row>
    <row r="36" spans="1:8" x14ac:dyDescent="0.3">
      <c r="A36" s="70"/>
      <c r="B36" s="1" t="s">
        <v>7</v>
      </c>
      <c r="C36" s="105">
        <f>C35-D35</f>
        <v>94073</v>
      </c>
      <c r="D36" s="106"/>
      <c r="E36" s="47"/>
      <c r="G36" s="1" t="s">
        <v>24</v>
      </c>
      <c r="H36" s="28">
        <f>AVERAGEIF(H3:H32,"&gt;0",H3:H32)</f>
        <v>67.071428571428569</v>
      </c>
    </row>
  </sheetData>
  <mergeCells count="1">
    <mergeCell ref="A1:H1"/>
  </mergeCell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5"/>
  <sheetViews>
    <sheetView workbookViewId="0">
      <selection activeCell="A11" sqref="A11"/>
    </sheetView>
  </sheetViews>
  <sheetFormatPr baseColWidth="10" defaultRowHeight="14.4" x14ac:dyDescent="0.3"/>
  <cols>
    <col min="2" max="2" width="2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44410</v>
      </c>
      <c r="B3" s="24" t="s">
        <v>123</v>
      </c>
      <c r="C3" s="46">
        <v>150000</v>
      </c>
      <c r="D3" s="47">
        <v>136658</v>
      </c>
      <c r="E3" s="47">
        <f>+C3-D3</f>
        <v>13342</v>
      </c>
      <c r="F3" s="44">
        <v>44409</v>
      </c>
      <c r="G3" s="24">
        <v>52328</v>
      </c>
      <c r="H3" s="25">
        <f>+G4-G3</f>
        <v>10</v>
      </c>
    </row>
    <row r="4" spans="1:8" x14ac:dyDescent="0.3">
      <c r="A4" s="23">
        <v>44415</v>
      </c>
      <c r="B4" s="27" t="s">
        <v>124</v>
      </c>
      <c r="C4" s="47"/>
      <c r="D4" s="47">
        <v>100000</v>
      </c>
      <c r="E4" s="47">
        <f>E3+C4-D4</f>
        <v>-86658</v>
      </c>
      <c r="F4" s="44">
        <v>44410</v>
      </c>
      <c r="G4" s="27">
        <v>52338</v>
      </c>
      <c r="H4" s="25">
        <f t="shared" ref="H4:H32" si="0">+G5-G4</f>
        <v>70</v>
      </c>
    </row>
    <row r="5" spans="1:8" x14ac:dyDescent="0.3">
      <c r="A5" s="23">
        <v>44421</v>
      </c>
      <c r="B5" s="27"/>
      <c r="C5" s="47">
        <v>200000</v>
      </c>
      <c r="D5" s="47"/>
      <c r="E5" s="47">
        <f t="shared" ref="E5:E32" si="1">E4+C5-D5</f>
        <v>113342</v>
      </c>
      <c r="F5" s="44">
        <v>44411</v>
      </c>
      <c r="G5" s="27">
        <v>52408</v>
      </c>
      <c r="H5" s="25">
        <f t="shared" si="0"/>
        <v>47</v>
      </c>
    </row>
    <row r="6" spans="1:8" x14ac:dyDescent="0.3">
      <c r="A6" s="23">
        <v>44421</v>
      </c>
      <c r="B6" s="27" t="s">
        <v>125</v>
      </c>
      <c r="C6" s="47"/>
      <c r="D6" s="47">
        <v>150009</v>
      </c>
      <c r="E6" s="47">
        <f t="shared" si="1"/>
        <v>-36667</v>
      </c>
      <c r="F6" s="44">
        <v>44412</v>
      </c>
      <c r="G6" s="27">
        <v>52455</v>
      </c>
      <c r="H6" s="25">
        <f t="shared" si="0"/>
        <v>98</v>
      </c>
    </row>
    <row r="7" spans="1:8" x14ac:dyDescent="0.3">
      <c r="A7" s="23">
        <v>44420</v>
      </c>
      <c r="B7" s="27" t="s">
        <v>37</v>
      </c>
      <c r="C7" s="47"/>
      <c r="D7" s="47">
        <v>12000</v>
      </c>
      <c r="E7" s="47">
        <f t="shared" si="1"/>
        <v>-48667</v>
      </c>
      <c r="F7" s="44">
        <v>44413</v>
      </c>
      <c r="G7" s="27">
        <v>52553</v>
      </c>
      <c r="H7" s="25">
        <f t="shared" si="0"/>
        <v>112</v>
      </c>
    </row>
    <row r="8" spans="1:8" x14ac:dyDescent="0.3">
      <c r="A8" s="23">
        <v>44412</v>
      </c>
      <c r="B8" s="27" t="s">
        <v>39</v>
      </c>
      <c r="C8" s="47"/>
      <c r="D8" s="47">
        <v>30000</v>
      </c>
      <c r="E8" s="47">
        <f t="shared" si="1"/>
        <v>-78667</v>
      </c>
      <c r="F8" s="44">
        <v>44414</v>
      </c>
      <c r="G8" s="29">
        <v>52665</v>
      </c>
      <c r="H8" s="25">
        <f t="shared" si="0"/>
        <v>97</v>
      </c>
    </row>
    <row r="9" spans="1:8" x14ac:dyDescent="0.3">
      <c r="A9" s="23">
        <v>44431</v>
      </c>
      <c r="B9" s="27" t="s">
        <v>126</v>
      </c>
      <c r="C9" s="47"/>
      <c r="D9" s="47">
        <v>150016</v>
      </c>
      <c r="E9" s="47">
        <f t="shared" si="1"/>
        <v>-228683</v>
      </c>
      <c r="F9" s="44">
        <v>44415</v>
      </c>
      <c r="G9" s="27">
        <v>52762</v>
      </c>
      <c r="H9" s="25">
        <f t="shared" si="0"/>
        <v>79</v>
      </c>
    </row>
    <row r="10" spans="1:8" x14ac:dyDescent="0.3">
      <c r="A10" s="23">
        <v>44429</v>
      </c>
      <c r="B10" s="27" t="s">
        <v>35</v>
      </c>
      <c r="C10" s="47"/>
      <c r="D10" s="47">
        <v>50000</v>
      </c>
      <c r="E10" s="47">
        <f t="shared" si="1"/>
        <v>-278683</v>
      </c>
      <c r="F10" s="44">
        <v>44416</v>
      </c>
      <c r="G10" s="29">
        <v>52841</v>
      </c>
      <c r="H10" s="25">
        <f t="shared" si="0"/>
        <v>0</v>
      </c>
    </row>
    <row r="11" spans="1:8" x14ac:dyDescent="0.3">
      <c r="A11" s="23"/>
      <c r="B11" s="27"/>
      <c r="C11" s="47"/>
      <c r="D11" s="47"/>
      <c r="E11" s="47">
        <f t="shared" si="1"/>
        <v>-278683</v>
      </c>
      <c r="F11" s="44">
        <v>44417</v>
      </c>
      <c r="G11" s="27">
        <v>52841</v>
      </c>
      <c r="H11" s="25">
        <f t="shared" si="0"/>
        <v>1069</v>
      </c>
    </row>
    <row r="12" spans="1:8" x14ac:dyDescent="0.3">
      <c r="A12" s="23"/>
      <c r="B12" s="27"/>
      <c r="C12" s="47"/>
      <c r="D12" s="47"/>
      <c r="E12" s="47">
        <f t="shared" si="1"/>
        <v>-278683</v>
      </c>
      <c r="F12" s="44">
        <v>44418</v>
      </c>
      <c r="G12" s="27">
        <v>53910</v>
      </c>
      <c r="H12" s="25">
        <f t="shared" si="0"/>
        <v>-911</v>
      </c>
    </row>
    <row r="13" spans="1:8" x14ac:dyDescent="0.3">
      <c r="A13" s="23"/>
      <c r="B13" s="27"/>
      <c r="C13" s="47"/>
      <c r="D13" s="47"/>
      <c r="E13" s="47">
        <f t="shared" si="1"/>
        <v>-278683</v>
      </c>
      <c r="F13" s="44">
        <v>44419</v>
      </c>
      <c r="G13" s="27">
        <v>52999</v>
      </c>
      <c r="H13" s="25">
        <f t="shared" si="0"/>
        <v>76</v>
      </c>
    </row>
    <row r="14" spans="1:8" x14ac:dyDescent="0.3">
      <c r="A14" s="23"/>
      <c r="B14" s="27"/>
      <c r="C14" s="47"/>
      <c r="D14" s="47"/>
      <c r="E14" s="47">
        <f t="shared" si="1"/>
        <v>-278683</v>
      </c>
      <c r="F14" s="44">
        <v>44420</v>
      </c>
      <c r="G14" s="27">
        <v>53075</v>
      </c>
      <c r="H14" s="25">
        <f t="shared" si="0"/>
        <v>97</v>
      </c>
    </row>
    <row r="15" spans="1:8" x14ac:dyDescent="0.3">
      <c r="A15" s="23"/>
      <c r="B15" s="27"/>
      <c r="C15" s="47"/>
      <c r="D15" s="47"/>
      <c r="E15" s="47">
        <f t="shared" si="1"/>
        <v>-278683</v>
      </c>
      <c r="F15" s="44">
        <v>44421</v>
      </c>
      <c r="G15" s="27">
        <v>53172</v>
      </c>
      <c r="H15" s="25">
        <f t="shared" si="0"/>
        <v>108</v>
      </c>
    </row>
    <row r="16" spans="1:8" x14ac:dyDescent="0.3">
      <c r="A16" s="23"/>
      <c r="B16" s="27"/>
      <c r="C16" s="47"/>
      <c r="D16" s="47"/>
      <c r="E16" s="47">
        <f t="shared" si="1"/>
        <v>-278683</v>
      </c>
      <c r="F16" s="44">
        <v>44422</v>
      </c>
      <c r="G16" s="27">
        <v>53280</v>
      </c>
      <c r="H16" s="25">
        <f t="shared" si="0"/>
        <v>65</v>
      </c>
    </row>
    <row r="17" spans="1:8" x14ac:dyDescent="0.3">
      <c r="A17" s="23"/>
      <c r="B17" s="27"/>
      <c r="C17" s="47"/>
      <c r="D17" s="47"/>
      <c r="E17" s="47">
        <f t="shared" si="1"/>
        <v>-278683</v>
      </c>
      <c r="F17" s="44">
        <v>44423</v>
      </c>
      <c r="G17" s="27">
        <v>53345</v>
      </c>
      <c r="H17" s="25">
        <f t="shared" si="0"/>
        <v>35</v>
      </c>
    </row>
    <row r="18" spans="1:8" x14ac:dyDescent="0.3">
      <c r="A18" s="23"/>
      <c r="B18" s="27"/>
      <c r="C18" s="47"/>
      <c r="D18" s="47"/>
      <c r="E18" s="47">
        <f t="shared" si="1"/>
        <v>-278683</v>
      </c>
      <c r="F18" s="44">
        <v>44424</v>
      </c>
      <c r="G18" s="27">
        <v>53380</v>
      </c>
      <c r="H18" s="25">
        <f t="shared" si="0"/>
        <v>12</v>
      </c>
    </row>
    <row r="19" spans="1:8" x14ac:dyDescent="0.3">
      <c r="A19" s="23"/>
      <c r="B19" s="27"/>
      <c r="C19" s="47"/>
      <c r="D19" s="47"/>
      <c r="E19" s="47">
        <f t="shared" si="1"/>
        <v>-278683</v>
      </c>
      <c r="F19" s="44">
        <v>44425</v>
      </c>
      <c r="G19" s="27">
        <v>53392</v>
      </c>
      <c r="H19" s="25">
        <f t="shared" si="0"/>
        <v>72</v>
      </c>
    </row>
    <row r="20" spans="1:8" x14ac:dyDescent="0.3">
      <c r="A20" s="23"/>
      <c r="B20" s="27"/>
      <c r="C20" s="47"/>
      <c r="D20" s="47"/>
      <c r="E20" s="47">
        <f t="shared" si="1"/>
        <v>-278683</v>
      </c>
      <c r="F20" s="44">
        <v>44426</v>
      </c>
      <c r="G20" s="27">
        <v>53464</v>
      </c>
      <c r="H20" s="25">
        <f t="shared" si="0"/>
        <v>14</v>
      </c>
    </row>
    <row r="21" spans="1:8" x14ac:dyDescent="0.3">
      <c r="A21" s="23"/>
      <c r="B21" s="27"/>
      <c r="C21" s="47"/>
      <c r="D21" s="47"/>
      <c r="E21" s="47">
        <f t="shared" si="1"/>
        <v>-278683</v>
      </c>
      <c r="F21" s="44">
        <v>44427</v>
      </c>
      <c r="G21" s="27">
        <v>53478</v>
      </c>
      <c r="H21" s="25">
        <f t="shared" si="0"/>
        <v>96</v>
      </c>
    </row>
    <row r="22" spans="1:8" x14ac:dyDescent="0.3">
      <c r="A22" s="23"/>
      <c r="B22" s="27"/>
      <c r="C22" s="47"/>
      <c r="D22" s="47"/>
      <c r="E22" s="47">
        <f t="shared" si="1"/>
        <v>-278683</v>
      </c>
      <c r="F22" s="44">
        <v>44428</v>
      </c>
      <c r="G22" s="27">
        <v>53574</v>
      </c>
      <c r="H22" s="25">
        <f t="shared" si="0"/>
        <v>47</v>
      </c>
    </row>
    <row r="23" spans="1:8" x14ac:dyDescent="0.3">
      <c r="A23" s="23"/>
      <c r="B23" s="27"/>
      <c r="C23" s="47"/>
      <c r="D23" s="47"/>
      <c r="E23" s="47">
        <f t="shared" si="1"/>
        <v>-278683</v>
      </c>
      <c r="F23" s="44">
        <v>44429</v>
      </c>
      <c r="G23" s="27">
        <v>53621</v>
      </c>
      <c r="H23" s="25">
        <f t="shared" si="0"/>
        <v>76</v>
      </c>
    </row>
    <row r="24" spans="1:8" x14ac:dyDescent="0.3">
      <c r="A24" s="23"/>
      <c r="B24" s="27"/>
      <c r="C24" s="47"/>
      <c r="D24" s="47"/>
      <c r="E24" s="47">
        <f t="shared" si="1"/>
        <v>-278683</v>
      </c>
      <c r="F24" s="44">
        <v>44430</v>
      </c>
      <c r="G24" s="27">
        <v>53697</v>
      </c>
      <c r="H24" s="25">
        <f t="shared" si="0"/>
        <v>25</v>
      </c>
    </row>
    <row r="25" spans="1:8" x14ac:dyDescent="0.3">
      <c r="A25" s="23"/>
      <c r="B25" s="27"/>
      <c r="C25" s="47"/>
      <c r="D25" s="47"/>
      <c r="E25" s="47">
        <f t="shared" si="1"/>
        <v>-278683</v>
      </c>
      <c r="F25" s="44">
        <v>44431</v>
      </c>
      <c r="G25" s="27">
        <v>53722</v>
      </c>
      <c r="H25" s="25">
        <f t="shared" si="0"/>
        <v>63</v>
      </c>
    </row>
    <row r="26" spans="1:8" x14ac:dyDescent="0.3">
      <c r="A26" s="23"/>
      <c r="B26" s="27"/>
      <c r="C26" s="47"/>
      <c r="D26" s="47"/>
      <c r="E26" s="47">
        <f t="shared" si="1"/>
        <v>-278683</v>
      </c>
      <c r="F26" s="44">
        <v>44432</v>
      </c>
      <c r="G26" s="27">
        <v>53785</v>
      </c>
      <c r="H26" s="25">
        <f t="shared" si="0"/>
        <v>44</v>
      </c>
    </row>
    <row r="27" spans="1:8" x14ac:dyDescent="0.3">
      <c r="A27" s="23"/>
      <c r="B27" s="27"/>
      <c r="C27" s="47"/>
      <c r="D27" s="47"/>
      <c r="E27" s="47">
        <f t="shared" si="1"/>
        <v>-278683</v>
      </c>
      <c r="F27" s="44">
        <v>44433</v>
      </c>
      <c r="G27" s="27">
        <v>53829</v>
      </c>
      <c r="H27" s="25">
        <f t="shared" si="0"/>
        <v>78</v>
      </c>
    </row>
    <row r="28" spans="1:8" x14ac:dyDescent="0.3">
      <c r="A28" s="23"/>
      <c r="B28" s="27"/>
      <c r="C28" s="47"/>
      <c r="D28" s="47"/>
      <c r="E28" s="47">
        <f t="shared" si="1"/>
        <v>-278683</v>
      </c>
      <c r="F28" s="44">
        <v>44434</v>
      </c>
      <c r="G28" s="27">
        <v>53907</v>
      </c>
      <c r="H28" s="25">
        <f t="shared" si="0"/>
        <v>82</v>
      </c>
    </row>
    <row r="29" spans="1:8" x14ac:dyDescent="0.3">
      <c r="A29" s="23"/>
      <c r="B29" s="27"/>
      <c r="C29" s="47"/>
      <c r="D29" s="47"/>
      <c r="E29" s="47">
        <f t="shared" si="1"/>
        <v>-278683</v>
      </c>
      <c r="F29" s="44">
        <v>44435</v>
      </c>
      <c r="G29" s="27">
        <v>53989</v>
      </c>
      <c r="H29" s="25">
        <f t="shared" si="0"/>
        <v>103</v>
      </c>
    </row>
    <row r="30" spans="1:8" x14ac:dyDescent="0.3">
      <c r="A30" s="23"/>
      <c r="B30" s="27"/>
      <c r="C30" s="47"/>
      <c r="D30" s="47"/>
      <c r="E30" s="47">
        <f t="shared" si="1"/>
        <v>-278683</v>
      </c>
      <c r="F30" s="44">
        <v>44436</v>
      </c>
      <c r="G30" s="27">
        <v>54092</v>
      </c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-278683</v>
      </c>
      <c r="F31" s="44">
        <v>44437</v>
      </c>
      <c r="G31" s="27">
        <v>54092</v>
      </c>
      <c r="H31" s="25">
        <f t="shared" si="0"/>
        <v>287</v>
      </c>
    </row>
    <row r="32" spans="1:8" x14ac:dyDescent="0.3">
      <c r="A32" s="66"/>
      <c r="B32" s="84"/>
      <c r="C32" s="68"/>
      <c r="D32" s="68"/>
      <c r="E32" s="68">
        <f t="shared" si="1"/>
        <v>-278683</v>
      </c>
      <c r="F32" s="44">
        <v>44438</v>
      </c>
      <c r="G32" s="27">
        <v>54379</v>
      </c>
      <c r="H32" s="25">
        <f t="shared" si="0"/>
        <v>38</v>
      </c>
    </row>
    <row r="33" spans="1:8" x14ac:dyDescent="0.3">
      <c r="A33" s="92"/>
      <c r="B33" s="84"/>
      <c r="C33" s="68"/>
      <c r="D33" s="68"/>
      <c r="E33" s="68"/>
      <c r="F33" s="44">
        <v>44439</v>
      </c>
      <c r="G33" s="27">
        <v>54417</v>
      </c>
      <c r="H33" s="25">
        <f>+'SEP-21'!G3-Tabla1214[[#This Row],[KILOMETROS]]</f>
        <v>49</v>
      </c>
    </row>
    <row r="34" spans="1:8" x14ac:dyDescent="0.3">
      <c r="A34" s="70"/>
      <c r="B34" s="27" t="s">
        <v>14</v>
      </c>
      <c r="C34" s="47">
        <f>SUM(C3:C33)</f>
        <v>350000</v>
      </c>
      <c r="D34" s="47">
        <f>SUM(D3:D33)</f>
        <v>628683</v>
      </c>
      <c r="E34" s="47"/>
      <c r="G34" s="1" t="s">
        <v>6</v>
      </c>
      <c r="H34" s="28">
        <f>SUMIFS(H3:H33,H3:H33,"&gt;=0")</f>
        <v>3049</v>
      </c>
    </row>
    <row r="35" spans="1:8" x14ac:dyDescent="0.3">
      <c r="A35" s="70"/>
      <c r="B35" s="1" t="s">
        <v>7</v>
      </c>
      <c r="C35" s="105">
        <f>C34-D34</f>
        <v>-278683</v>
      </c>
      <c r="D35" s="106"/>
      <c r="E35" s="47"/>
      <c r="G35" s="1" t="s">
        <v>24</v>
      </c>
      <c r="H35" s="28">
        <f>AVERAGEIF(H3:H32,"&gt;0",H3:H32)</f>
        <v>111.11111111111111</v>
      </c>
    </row>
  </sheetData>
  <mergeCells count="1">
    <mergeCell ref="A1:H1"/>
  </mergeCell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5"/>
  <sheetViews>
    <sheetView topLeftCell="A16" workbookViewId="0">
      <selection activeCell="J30" sqref="J30"/>
    </sheetView>
  </sheetViews>
  <sheetFormatPr baseColWidth="10" defaultRowHeight="14.4" x14ac:dyDescent="0.3"/>
  <cols>
    <col min="2" max="2" width="32.5546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44443</v>
      </c>
      <c r="B3" s="24" t="s">
        <v>127</v>
      </c>
      <c r="C3" s="46"/>
      <c r="D3" s="47">
        <v>140017</v>
      </c>
      <c r="E3" s="47">
        <f>+C3-D3</f>
        <v>-140017</v>
      </c>
      <c r="F3" s="44">
        <v>44440</v>
      </c>
      <c r="G3" s="24">
        <v>54466</v>
      </c>
      <c r="H3" s="25">
        <f>+G4-G3</f>
        <v>47</v>
      </c>
    </row>
    <row r="4" spans="1:8" x14ac:dyDescent="0.3">
      <c r="A4" s="23">
        <v>44443</v>
      </c>
      <c r="B4" s="27" t="s">
        <v>128</v>
      </c>
      <c r="C4" s="47"/>
      <c r="D4" s="47">
        <v>20000</v>
      </c>
      <c r="E4" s="47">
        <f>E3+C4-D4</f>
        <v>-160017</v>
      </c>
      <c r="F4" s="44">
        <v>44441</v>
      </c>
      <c r="G4" s="27">
        <v>54513</v>
      </c>
      <c r="H4" s="25">
        <f t="shared" ref="H4:H31" si="0">+G5-G4</f>
        <v>42</v>
      </c>
    </row>
    <row r="5" spans="1:8" x14ac:dyDescent="0.3">
      <c r="A5" s="23">
        <v>44451</v>
      </c>
      <c r="B5" s="27"/>
      <c r="C5" s="47">
        <v>100000</v>
      </c>
      <c r="D5" s="47"/>
      <c r="E5" s="47">
        <f t="shared" ref="E5:E32" si="1">E4+C5-D5</f>
        <v>-60017</v>
      </c>
      <c r="F5" s="44">
        <v>44442</v>
      </c>
      <c r="G5" s="27">
        <v>54555</v>
      </c>
      <c r="H5" s="25">
        <f t="shared" si="0"/>
        <v>69</v>
      </c>
    </row>
    <row r="6" spans="1:8" x14ac:dyDescent="0.3">
      <c r="A6" s="23">
        <v>44452</v>
      </c>
      <c r="B6" s="27" t="s">
        <v>129</v>
      </c>
      <c r="C6" s="47"/>
      <c r="D6" s="47">
        <v>148497</v>
      </c>
      <c r="E6" s="47">
        <f t="shared" si="1"/>
        <v>-208514</v>
      </c>
      <c r="F6" s="44">
        <v>44443</v>
      </c>
      <c r="G6" s="27">
        <v>54624</v>
      </c>
      <c r="H6" s="25">
        <f t="shared" si="0"/>
        <v>74</v>
      </c>
    </row>
    <row r="7" spans="1:8" x14ac:dyDescent="0.3">
      <c r="A7" s="23">
        <v>44454</v>
      </c>
      <c r="B7" s="27" t="s">
        <v>130</v>
      </c>
      <c r="C7" s="47"/>
      <c r="D7" s="47">
        <v>12000</v>
      </c>
      <c r="E7" s="47">
        <f t="shared" si="1"/>
        <v>-220514</v>
      </c>
      <c r="F7" s="44">
        <v>44444</v>
      </c>
      <c r="G7" s="27">
        <v>54698</v>
      </c>
      <c r="H7" s="25">
        <f t="shared" si="0"/>
        <v>0</v>
      </c>
    </row>
    <row r="8" spans="1:8" x14ac:dyDescent="0.3">
      <c r="A8" s="23">
        <v>44456</v>
      </c>
      <c r="B8" s="27" t="s">
        <v>37</v>
      </c>
      <c r="C8" s="47"/>
      <c r="D8" s="47">
        <v>5650</v>
      </c>
      <c r="E8" s="47">
        <f t="shared" si="1"/>
        <v>-226164</v>
      </c>
      <c r="F8" s="44">
        <v>44445</v>
      </c>
      <c r="G8" s="29">
        <v>54698</v>
      </c>
      <c r="H8" s="25">
        <f t="shared" si="0"/>
        <v>40</v>
      </c>
    </row>
    <row r="9" spans="1:8" x14ac:dyDescent="0.3">
      <c r="A9" s="23">
        <v>44458</v>
      </c>
      <c r="B9" s="27"/>
      <c r="C9" s="47">
        <v>100000</v>
      </c>
      <c r="D9" s="47"/>
      <c r="E9" s="47">
        <f t="shared" si="1"/>
        <v>-126164</v>
      </c>
      <c r="F9" s="44">
        <v>44446</v>
      </c>
      <c r="G9" s="27">
        <v>54738</v>
      </c>
      <c r="H9" s="25">
        <f t="shared" si="0"/>
        <v>237</v>
      </c>
    </row>
    <row r="10" spans="1:8" x14ac:dyDescent="0.3">
      <c r="A10" s="23">
        <v>44458</v>
      </c>
      <c r="B10" s="27" t="s">
        <v>131</v>
      </c>
      <c r="C10" s="47"/>
      <c r="D10" s="47">
        <v>129911</v>
      </c>
      <c r="E10" s="47">
        <f t="shared" si="1"/>
        <v>-256075</v>
      </c>
      <c r="F10" s="44">
        <v>44447</v>
      </c>
      <c r="G10" s="29">
        <v>54975</v>
      </c>
      <c r="H10" s="25">
        <f t="shared" si="0"/>
        <v>-120</v>
      </c>
    </row>
    <row r="11" spans="1:8" x14ac:dyDescent="0.3">
      <c r="A11" s="23">
        <v>44461</v>
      </c>
      <c r="B11" s="27" t="s">
        <v>41</v>
      </c>
      <c r="C11" s="47"/>
      <c r="D11" s="47">
        <v>20000</v>
      </c>
      <c r="E11" s="47">
        <f t="shared" si="1"/>
        <v>-276075</v>
      </c>
      <c r="F11" s="44">
        <v>44448</v>
      </c>
      <c r="G11" s="27">
        <v>54855</v>
      </c>
      <c r="H11" s="25">
        <f t="shared" si="0"/>
        <v>126</v>
      </c>
    </row>
    <row r="12" spans="1:8" x14ac:dyDescent="0.3">
      <c r="A12" s="23">
        <v>44467</v>
      </c>
      <c r="B12" s="27" t="s">
        <v>132</v>
      </c>
      <c r="C12" s="47"/>
      <c r="D12" s="47">
        <v>15000</v>
      </c>
      <c r="E12" s="47">
        <f t="shared" si="1"/>
        <v>-291075</v>
      </c>
      <c r="F12" s="44">
        <v>44449</v>
      </c>
      <c r="G12" s="27">
        <v>54981</v>
      </c>
      <c r="H12" s="25">
        <f t="shared" si="0"/>
        <v>51</v>
      </c>
    </row>
    <row r="13" spans="1:8" x14ac:dyDescent="0.3">
      <c r="A13" s="23">
        <v>44468</v>
      </c>
      <c r="B13" s="27" t="s">
        <v>133</v>
      </c>
      <c r="C13" s="47"/>
      <c r="D13" s="47">
        <v>133899</v>
      </c>
      <c r="E13" s="47">
        <f t="shared" si="1"/>
        <v>-424974</v>
      </c>
      <c r="F13" s="44">
        <v>44450</v>
      </c>
      <c r="G13" s="27">
        <v>55032</v>
      </c>
      <c r="H13" s="25">
        <f t="shared" si="0"/>
        <v>58</v>
      </c>
    </row>
    <row r="14" spans="1:8" x14ac:dyDescent="0.3">
      <c r="A14" s="23">
        <v>44469</v>
      </c>
      <c r="B14" s="27"/>
      <c r="C14" s="47">
        <v>134000</v>
      </c>
      <c r="D14" s="47"/>
      <c r="E14" s="47">
        <f t="shared" si="1"/>
        <v>-290974</v>
      </c>
      <c r="F14" s="44">
        <v>44451</v>
      </c>
      <c r="G14" s="27">
        <v>55090</v>
      </c>
      <c r="H14" s="25">
        <f t="shared" si="0"/>
        <v>26</v>
      </c>
    </row>
    <row r="15" spans="1:8" x14ac:dyDescent="0.3">
      <c r="A15" s="23">
        <v>44469</v>
      </c>
      <c r="B15" s="27" t="s">
        <v>134</v>
      </c>
      <c r="C15" s="47"/>
      <c r="D15" s="47">
        <v>29050</v>
      </c>
      <c r="E15" s="47">
        <f t="shared" si="1"/>
        <v>-320024</v>
      </c>
      <c r="F15" s="44">
        <v>44452</v>
      </c>
      <c r="G15" s="27">
        <v>55116</v>
      </c>
      <c r="H15" s="25">
        <f t="shared" si="0"/>
        <v>71</v>
      </c>
    </row>
    <row r="16" spans="1:8" x14ac:dyDescent="0.3">
      <c r="A16" s="23"/>
      <c r="B16" s="27"/>
      <c r="C16" s="47"/>
      <c r="D16" s="47"/>
      <c r="E16" s="47">
        <f t="shared" si="1"/>
        <v>-320024</v>
      </c>
      <c r="F16" s="44">
        <v>44453</v>
      </c>
      <c r="G16" s="27">
        <v>55187</v>
      </c>
      <c r="H16" s="25">
        <f t="shared" si="0"/>
        <v>65</v>
      </c>
    </row>
    <row r="17" spans="1:8" x14ac:dyDescent="0.3">
      <c r="A17" s="23"/>
      <c r="B17" s="27"/>
      <c r="C17" s="47"/>
      <c r="D17" s="47"/>
      <c r="E17" s="47">
        <f t="shared" si="1"/>
        <v>-320024</v>
      </c>
      <c r="F17" s="44">
        <v>44454</v>
      </c>
      <c r="G17" s="27">
        <v>55252</v>
      </c>
      <c r="H17" s="25">
        <f t="shared" si="0"/>
        <v>57</v>
      </c>
    </row>
    <row r="18" spans="1:8" x14ac:dyDescent="0.3">
      <c r="A18" s="23"/>
      <c r="B18" s="27"/>
      <c r="C18" s="47"/>
      <c r="D18" s="47"/>
      <c r="E18" s="47">
        <f t="shared" si="1"/>
        <v>-320024</v>
      </c>
      <c r="F18" s="44">
        <v>44455</v>
      </c>
      <c r="G18" s="27">
        <v>55309</v>
      </c>
      <c r="H18" s="25">
        <f t="shared" si="0"/>
        <v>46</v>
      </c>
    </row>
    <row r="19" spans="1:8" x14ac:dyDescent="0.3">
      <c r="A19" s="23"/>
      <c r="B19" s="27"/>
      <c r="C19" s="47"/>
      <c r="D19" s="47"/>
      <c r="E19" s="47">
        <f t="shared" si="1"/>
        <v>-320024</v>
      </c>
      <c r="F19" s="44">
        <v>44456</v>
      </c>
      <c r="G19" s="27">
        <v>55355</v>
      </c>
      <c r="H19" s="25">
        <f t="shared" si="0"/>
        <v>60</v>
      </c>
    </row>
    <row r="20" spans="1:8" x14ac:dyDescent="0.3">
      <c r="A20" s="23"/>
      <c r="B20" s="27"/>
      <c r="C20" s="47"/>
      <c r="D20" s="47"/>
      <c r="E20" s="47">
        <f t="shared" si="1"/>
        <v>-320024</v>
      </c>
      <c r="F20" s="44">
        <v>44457</v>
      </c>
      <c r="G20" s="27">
        <v>55415</v>
      </c>
      <c r="H20" s="25">
        <f t="shared" si="0"/>
        <v>80</v>
      </c>
    </row>
    <row r="21" spans="1:8" x14ac:dyDescent="0.3">
      <c r="A21" s="23"/>
      <c r="B21" s="27"/>
      <c r="C21" s="47"/>
      <c r="D21" s="47"/>
      <c r="E21" s="47">
        <f t="shared" si="1"/>
        <v>-320024</v>
      </c>
      <c r="F21" s="44">
        <v>44458</v>
      </c>
      <c r="G21" s="27">
        <v>55495</v>
      </c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-320024</v>
      </c>
      <c r="F22" s="44">
        <v>44459</v>
      </c>
      <c r="G22" s="27">
        <v>55495</v>
      </c>
      <c r="H22" s="25">
        <f t="shared" si="0"/>
        <v>50</v>
      </c>
    </row>
    <row r="23" spans="1:8" x14ac:dyDescent="0.3">
      <c r="A23" s="23"/>
      <c r="B23" s="27"/>
      <c r="C23" s="47"/>
      <c r="D23" s="47"/>
      <c r="E23" s="47">
        <f t="shared" si="1"/>
        <v>-320024</v>
      </c>
      <c r="F23" s="44">
        <v>44460</v>
      </c>
      <c r="G23" s="27">
        <v>55545</v>
      </c>
      <c r="H23" s="25">
        <f t="shared" si="0"/>
        <v>88</v>
      </c>
    </row>
    <row r="24" spans="1:8" x14ac:dyDescent="0.3">
      <c r="A24" s="23"/>
      <c r="B24" s="27"/>
      <c r="C24" s="47"/>
      <c r="D24" s="47"/>
      <c r="E24" s="47">
        <f t="shared" si="1"/>
        <v>-320024</v>
      </c>
      <c r="F24" s="44">
        <v>44461</v>
      </c>
      <c r="G24" s="27">
        <v>55633</v>
      </c>
      <c r="H24" s="25">
        <f t="shared" si="0"/>
        <v>41</v>
      </c>
    </row>
    <row r="25" spans="1:8" x14ac:dyDescent="0.3">
      <c r="A25" s="23"/>
      <c r="B25" s="27"/>
      <c r="C25" s="47"/>
      <c r="D25" s="47"/>
      <c r="E25" s="47">
        <f t="shared" si="1"/>
        <v>-320024</v>
      </c>
      <c r="F25" s="44">
        <v>44462</v>
      </c>
      <c r="G25" s="27">
        <v>55674</v>
      </c>
      <c r="H25" s="25">
        <f t="shared" si="0"/>
        <v>64</v>
      </c>
    </row>
    <row r="26" spans="1:8" x14ac:dyDescent="0.3">
      <c r="A26" s="23"/>
      <c r="B26" s="27"/>
      <c r="C26" s="47"/>
      <c r="D26" s="47"/>
      <c r="E26" s="47">
        <f t="shared" si="1"/>
        <v>-320024</v>
      </c>
      <c r="F26" s="44">
        <v>44463</v>
      </c>
      <c r="G26" s="27">
        <v>55738</v>
      </c>
      <c r="H26" s="25">
        <f t="shared" si="0"/>
        <v>119</v>
      </c>
    </row>
    <row r="27" spans="1:8" x14ac:dyDescent="0.3">
      <c r="A27" s="23"/>
      <c r="B27" s="27"/>
      <c r="C27" s="47"/>
      <c r="D27" s="47"/>
      <c r="E27" s="47">
        <f t="shared" si="1"/>
        <v>-320024</v>
      </c>
      <c r="F27" s="44">
        <v>44464</v>
      </c>
      <c r="G27" s="27">
        <v>55857</v>
      </c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-320024</v>
      </c>
      <c r="F28" s="44">
        <v>44465</v>
      </c>
      <c r="G28" s="27">
        <v>55857</v>
      </c>
      <c r="H28" s="25">
        <f t="shared" si="0"/>
        <v>290</v>
      </c>
    </row>
    <row r="29" spans="1:8" x14ac:dyDescent="0.3">
      <c r="A29" s="23"/>
      <c r="B29" s="27"/>
      <c r="C29" s="47"/>
      <c r="D29" s="47"/>
      <c r="E29" s="47">
        <f t="shared" si="1"/>
        <v>-320024</v>
      </c>
      <c r="F29" s="44">
        <v>44466</v>
      </c>
      <c r="G29" s="27">
        <v>56147</v>
      </c>
      <c r="H29" s="25">
        <f t="shared" si="0"/>
        <v>33</v>
      </c>
    </row>
    <row r="30" spans="1:8" x14ac:dyDescent="0.3">
      <c r="A30" s="23"/>
      <c r="B30" s="27"/>
      <c r="C30" s="47"/>
      <c r="D30" s="47"/>
      <c r="E30" s="47">
        <f t="shared" si="1"/>
        <v>-320024</v>
      </c>
      <c r="F30" s="44">
        <v>44467</v>
      </c>
      <c r="G30" s="27">
        <v>56180</v>
      </c>
      <c r="H30" s="25">
        <f t="shared" si="0"/>
        <v>57</v>
      </c>
    </row>
    <row r="31" spans="1:8" x14ac:dyDescent="0.3">
      <c r="A31" s="23"/>
      <c r="B31" s="27"/>
      <c r="C31" s="47"/>
      <c r="D31" s="47"/>
      <c r="E31" s="47">
        <f t="shared" si="1"/>
        <v>-320024</v>
      </c>
      <c r="F31" s="44">
        <v>44468</v>
      </c>
      <c r="G31" s="27">
        <v>56237</v>
      </c>
      <c r="H31" s="25">
        <f t="shared" si="0"/>
        <v>47</v>
      </c>
    </row>
    <row r="32" spans="1:8" x14ac:dyDescent="0.3">
      <c r="A32" s="66"/>
      <c r="B32" s="84"/>
      <c r="C32" s="68"/>
      <c r="D32" s="68"/>
      <c r="E32" s="68">
        <f t="shared" si="1"/>
        <v>-320024</v>
      </c>
      <c r="F32" s="44">
        <v>44469</v>
      </c>
      <c r="G32" s="27">
        <v>56284</v>
      </c>
      <c r="H32" s="25">
        <f>+'OCT-21'!G3-Tabla121415[[#This Row],[KILOMETROS]]</f>
        <v>67</v>
      </c>
    </row>
    <row r="33" spans="1:8" x14ac:dyDescent="0.3">
      <c r="A33" s="92"/>
      <c r="B33" s="84"/>
      <c r="C33" s="68"/>
      <c r="D33" s="68"/>
      <c r="E33" s="68"/>
      <c r="F33" s="44"/>
      <c r="G33" s="27"/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334000</v>
      </c>
      <c r="D34" s="47">
        <f>SUM(D3:D33)</f>
        <v>654024</v>
      </c>
      <c r="E34" s="47"/>
      <c r="G34" s="1" t="s">
        <v>6</v>
      </c>
      <c r="H34" s="28">
        <f>SUMIFS(H3:H33,H3:H33,"&gt;=0")</f>
        <v>2005</v>
      </c>
    </row>
    <row r="35" spans="1:8" x14ac:dyDescent="0.3">
      <c r="A35" s="70"/>
      <c r="B35" s="1" t="s">
        <v>7</v>
      </c>
      <c r="C35" s="122">
        <f>C34-D34</f>
        <v>-320024</v>
      </c>
      <c r="D35" s="106"/>
      <c r="E35" s="47"/>
      <c r="G35" s="1" t="s">
        <v>24</v>
      </c>
      <c r="H35" s="28">
        <f>AVERAGEIF(H3:H32,"&gt;0",H3:H32)</f>
        <v>77.115384615384613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5"/>
  <sheetViews>
    <sheetView topLeftCell="A16" workbookViewId="0">
      <selection activeCell="C35" sqref="C35"/>
    </sheetView>
  </sheetViews>
  <sheetFormatPr baseColWidth="10" defaultRowHeight="14.4" x14ac:dyDescent="0.3"/>
  <cols>
    <col min="2" max="2" width="29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44473</v>
      </c>
      <c r="B3" s="24" t="s">
        <v>115</v>
      </c>
      <c r="C3" s="46"/>
      <c r="D3" s="47">
        <v>22600</v>
      </c>
      <c r="E3" s="47">
        <f>+C3-D3</f>
        <v>-22600</v>
      </c>
      <c r="F3" s="44">
        <v>44470</v>
      </c>
      <c r="G3" s="24">
        <v>56351</v>
      </c>
      <c r="H3" s="25">
        <f>+G4-G3</f>
        <v>19</v>
      </c>
    </row>
    <row r="4" spans="1:8" x14ac:dyDescent="0.3">
      <c r="A4" s="23">
        <v>44473</v>
      </c>
      <c r="B4" s="27" t="s">
        <v>12</v>
      </c>
      <c r="C4" s="47"/>
      <c r="D4" s="47">
        <v>3400</v>
      </c>
      <c r="E4" s="47">
        <f>E3+C4-D4</f>
        <v>-26000</v>
      </c>
      <c r="F4" s="44">
        <v>44471</v>
      </c>
      <c r="G4" s="27">
        <v>56370</v>
      </c>
      <c r="H4" s="25">
        <f t="shared" ref="H4:H32" si="0">+G5-G4</f>
        <v>34</v>
      </c>
    </row>
    <row r="5" spans="1:8" x14ac:dyDescent="0.3">
      <c r="A5" s="23">
        <v>44475</v>
      </c>
      <c r="B5" s="27"/>
      <c r="C5" s="47">
        <v>150000</v>
      </c>
      <c r="D5" s="47"/>
      <c r="E5" s="47">
        <f t="shared" ref="E5:E32" si="1">E4+C5-D5</f>
        <v>124000</v>
      </c>
      <c r="F5" s="44">
        <v>44472</v>
      </c>
      <c r="G5" s="27">
        <v>56404</v>
      </c>
      <c r="H5" s="25">
        <f t="shared" si="0"/>
        <v>0</v>
      </c>
    </row>
    <row r="6" spans="1:8" x14ac:dyDescent="0.3">
      <c r="A6" s="23">
        <v>44476</v>
      </c>
      <c r="B6" s="27" t="s">
        <v>115</v>
      </c>
      <c r="C6" s="47"/>
      <c r="D6" s="47">
        <v>22600</v>
      </c>
      <c r="E6" s="47">
        <f t="shared" si="1"/>
        <v>101400</v>
      </c>
      <c r="F6" s="44">
        <v>44473</v>
      </c>
      <c r="G6" s="27">
        <v>56404</v>
      </c>
      <c r="H6" s="25">
        <f t="shared" si="0"/>
        <v>98</v>
      </c>
    </row>
    <row r="7" spans="1:8" x14ac:dyDescent="0.3">
      <c r="A7" s="23">
        <v>44477</v>
      </c>
      <c r="B7" s="27" t="s">
        <v>116</v>
      </c>
      <c r="C7" s="47"/>
      <c r="D7" s="47">
        <v>165788</v>
      </c>
      <c r="E7" s="47">
        <f t="shared" si="1"/>
        <v>-64388</v>
      </c>
      <c r="F7" s="44">
        <v>44474</v>
      </c>
      <c r="G7" s="27">
        <v>56502</v>
      </c>
      <c r="H7" s="25">
        <f t="shared" si="0"/>
        <v>39</v>
      </c>
    </row>
    <row r="8" spans="1:8" x14ac:dyDescent="0.3">
      <c r="A8" s="23">
        <v>44477</v>
      </c>
      <c r="B8" s="27"/>
      <c r="C8" s="47">
        <v>150000</v>
      </c>
      <c r="D8" s="47"/>
      <c r="E8" s="47">
        <f t="shared" si="1"/>
        <v>85612</v>
      </c>
      <c r="F8" s="44">
        <v>44475</v>
      </c>
      <c r="G8" s="29">
        <v>56541</v>
      </c>
      <c r="H8" s="25">
        <f t="shared" si="0"/>
        <v>77</v>
      </c>
    </row>
    <row r="9" spans="1:8" x14ac:dyDescent="0.3">
      <c r="A9" s="23">
        <v>44487</v>
      </c>
      <c r="B9" s="27"/>
      <c r="C9" s="47">
        <v>150000</v>
      </c>
      <c r="D9" s="47"/>
      <c r="E9" s="47">
        <f t="shared" si="1"/>
        <v>235612</v>
      </c>
      <c r="F9" s="44">
        <v>44476</v>
      </c>
      <c r="G9" s="27">
        <v>56618</v>
      </c>
      <c r="H9" s="25">
        <f t="shared" si="0"/>
        <v>101</v>
      </c>
    </row>
    <row r="10" spans="1:8" x14ac:dyDescent="0.3">
      <c r="A10" s="23">
        <v>44487</v>
      </c>
      <c r="B10" s="27" t="s">
        <v>117</v>
      </c>
      <c r="C10" s="47"/>
      <c r="D10" s="47">
        <v>129729</v>
      </c>
      <c r="E10" s="47">
        <f t="shared" si="1"/>
        <v>105883</v>
      </c>
      <c r="F10" s="44">
        <v>44477</v>
      </c>
      <c r="G10" s="29">
        <v>56719</v>
      </c>
      <c r="H10" s="25">
        <f t="shared" si="0"/>
        <v>71</v>
      </c>
    </row>
    <row r="11" spans="1:8" x14ac:dyDescent="0.3">
      <c r="A11" s="23">
        <v>44493</v>
      </c>
      <c r="B11" s="27" t="s">
        <v>118</v>
      </c>
      <c r="C11" s="47"/>
      <c r="D11" s="47">
        <v>60000</v>
      </c>
      <c r="E11" s="47">
        <f t="shared" si="1"/>
        <v>45883</v>
      </c>
      <c r="F11" s="44">
        <v>44478</v>
      </c>
      <c r="G11" s="27">
        <v>56790</v>
      </c>
      <c r="H11" s="25">
        <f t="shared" si="0"/>
        <v>0</v>
      </c>
    </row>
    <row r="12" spans="1:8" x14ac:dyDescent="0.3">
      <c r="A12" s="23">
        <v>44477</v>
      </c>
      <c r="B12" s="27" t="s">
        <v>12</v>
      </c>
      <c r="C12" s="47"/>
      <c r="D12" s="47">
        <v>4600</v>
      </c>
      <c r="E12" s="47">
        <f t="shared" si="1"/>
        <v>41283</v>
      </c>
      <c r="F12" s="44">
        <v>44479</v>
      </c>
      <c r="G12" s="27">
        <v>56790</v>
      </c>
      <c r="H12" s="25">
        <f t="shared" si="0"/>
        <v>87</v>
      </c>
    </row>
    <row r="13" spans="1:8" x14ac:dyDescent="0.3">
      <c r="A13" s="23">
        <v>44484</v>
      </c>
      <c r="B13" s="27" t="s">
        <v>12</v>
      </c>
      <c r="C13" s="47"/>
      <c r="D13" s="47">
        <v>6750</v>
      </c>
      <c r="E13" s="47">
        <f t="shared" si="1"/>
        <v>34533</v>
      </c>
      <c r="F13" s="44">
        <v>44480</v>
      </c>
      <c r="G13" s="27">
        <v>56877</v>
      </c>
      <c r="H13" s="25">
        <f t="shared" si="0"/>
        <v>54</v>
      </c>
    </row>
    <row r="14" spans="1:8" x14ac:dyDescent="0.3">
      <c r="A14" s="118">
        <v>44499</v>
      </c>
      <c r="B14" s="119" t="s">
        <v>42</v>
      </c>
      <c r="C14" s="120">
        <v>400000</v>
      </c>
      <c r="D14" s="120"/>
      <c r="E14" s="47">
        <f t="shared" si="1"/>
        <v>434533</v>
      </c>
      <c r="F14" s="44">
        <v>44481</v>
      </c>
      <c r="G14" s="27">
        <v>56931</v>
      </c>
      <c r="H14" s="25">
        <f t="shared" si="0"/>
        <v>59</v>
      </c>
    </row>
    <row r="15" spans="1:8" x14ac:dyDescent="0.3">
      <c r="A15" s="118">
        <v>44499</v>
      </c>
      <c r="B15" s="119" t="s">
        <v>119</v>
      </c>
      <c r="C15" s="120"/>
      <c r="D15" s="120">
        <v>142023</v>
      </c>
      <c r="E15" s="47">
        <f t="shared" si="1"/>
        <v>292510</v>
      </c>
      <c r="F15" s="44">
        <v>44482</v>
      </c>
      <c r="G15" s="27">
        <v>56990</v>
      </c>
      <c r="H15" s="25">
        <f t="shared" si="0"/>
        <v>31</v>
      </c>
    </row>
    <row r="16" spans="1:8" x14ac:dyDescent="0.3">
      <c r="A16" s="118">
        <v>44499</v>
      </c>
      <c r="B16" s="121" t="s">
        <v>120</v>
      </c>
      <c r="C16" s="120"/>
      <c r="D16" s="120">
        <v>206200</v>
      </c>
      <c r="E16" s="47">
        <f t="shared" si="1"/>
        <v>86310</v>
      </c>
      <c r="F16" s="44">
        <v>44483</v>
      </c>
      <c r="G16" s="27">
        <v>57021</v>
      </c>
      <c r="H16" s="25">
        <f t="shared" si="0"/>
        <v>136</v>
      </c>
    </row>
    <row r="17" spans="1:8" x14ac:dyDescent="0.3">
      <c r="A17" s="118">
        <v>44499</v>
      </c>
      <c r="B17" s="119" t="s">
        <v>121</v>
      </c>
      <c r="C17" s="120"/>
      <c r="D17" s="120">
        <v>86000</v>
      </c>
      <c r="E17" s="47">
        <f t="shared" si="1"/>
        <v>310</v>
      </c>
      <c r="F17" s="44">
        <v>44484</v>
      </c>
      <c r="G17" s="27">
        <v>57157</v>
      </c>
      <c r="H17" s="25">
        <f t="shared" si="0"/>
        <v>39</v>
      </c>
    </row>
    <row r="18" spans="1:8" x14ac:dyDescent="0.3">
      <c r="A18" s="118">
        <v>44499</v>
      </c>
      <c r="B18" s="119" t="s">
        <v>122</v>
      </c>
      <c r="C18" s="120"/>
      <c r="D18" s="120">
        <v>50800</v>
      </c>
      <c r="E18" s="47">
        <f t="shared" si="1"/>
        <v>-50490</v>
      </c>
      <c r="F18" s="44">
        <v>44485</v>
      </c>
      <c r="G18" s="27">
        <v>57196</v>
      </c>
      <c r="H18" s="25">
        <f t="shared" si="0"/>
        <v>6</v>
      </c>
    </row>
    <row r="19" spans="1:8" x14ac:dyDescent="0.3">
      <c r="A19" s="23"/>
      <c r="B19" s="27"/>
      <c r="C19" s="47"/>
      <c r="D19" s="47"/>
      <c r="E19" s="47">
        <f t="shared" si="1"/>
        <v>-50490</v>
      </c>
      <c r="F19" s="44">
        <v>44486</v>
      </c>
      <c r="G19" s="27">
        <v>57202</v>
      </c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-50490</v>
      </c>
      <c r="F20" s="44">
        <v>44487</v>
      </c>
      <c r="G20" s="27">
        <v>57202</v>
      </c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-50490</v>
      </c>
      <c r="F21" s="44">
        <v>44488</v>
      </c>
      <c r="G21" s="27">
        <v>57202</v>
      </c>
      <c r="H21" s="25">
        <f t="shared" si="0"/>
        <v>33</v>
      </c>
    </row>
    <row r="22" spans="1:8" x14ac:dyDescent="0.3">
      <c r="A22" s="23"/>
      <c r="B22" s="27"/>
      <c r="C22" s="47"/>
      <c r="D22" s="47"/>
      <c r="E22" s="47">
        <f t="shared" si="1"/>
        <v>-50490</v>
      </c>
      <c r="F22" s="44">
        <v>44489</v>
      </c>
      <c r="G22" s="27">
        <v>57235</v>
      </c>
      <c r="H22" s="25">
        <f t="shared" si="0"/>
        <v>25</v>
      </c>
    </row>
    <row r="23" spans="1:8" x14ac:dyDescent="0.3">
      <c r="A23" s="23"/>
      <c r="B23" s="27"/>
      <c r="C23" s="47"/>
      <c r="D23" s="47"/>
      <c r="E23" s="47">
        <f t="shared" si="1"/>
        <v>-50490</v>
      </c>
      <c r="F23" s="44">
        <v>44490</v>
      </c>
      <c r="G23" s="27">
        <v>57260</v>
      </c>
      <c r="H23" s="25">
        <f t="shared" si="0"/>
        <v>59</v>
      </c>
    </row>
    <row r="24" spans="1:8" x14ac:dyDescent="0.3">
      <c r="A24" s="23"/>
      <c r="B24" s="27"/>
      <c r="C24" s="47"/>
      <c r="D24" s="47"/>
      <c r="E24" s="47">
        <f t="shared" si="1"/>
        <v>-50490</v>
      </c>
      <c r="F24" s="44">
        <v>44491</v>
      </c>
      <c r="G24" s="27">
        <v>57319</v>
      </c>
      <c r="H24" s="25">
        <f t="shared" si="0"/>
        <v>67</v>
      </c>
    </row>
    <row r="25" spans="1:8" x14ac:dyDescent="0.3">
      <c r="A25" s="23"/>
      <c r="B25" s="27"/>
      <c r="C25" s="47"/>
      <c r="D25" s="47"/>
      <c r="E25" s="47">
        <f t="shared" si="1"/>
        <v>-50490</v>
      </c>
      <c r="F25" s="44">
        <v>44492</v>
      </c>
      <c r="G25" s="27">
        <v>57386</v>
      </c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-50490</v>
      </c>
      <c r="F26" s="44">
        <v>44493</v>
      </c>
      <c r="G26" s="27">
        <v>57386</v>
      </c>
      <c r="H26" s="25">
        <f t="shared" si="0"/>
        <v>78</v>
      </c>
    </row>
    <row r="27" spans="1:8" x14ac:dyDescent="0.3">
      <c r="A27" s="23"/>
      <c r="B27" s="27"/>
      <c r="C27" s="47"/>
      <c r="D27" s="47"/>
      <c r="E27" s="47">
        <f t="shared" si="1"/>
        <v>-50490</v>
      </c>
      <c r="F27" s="44">
        <v>44494</v>
      </c>
      <c r="G27" s="27">
        <v>57464</v>
      </c>
      <c r="H27" s="25">
        <f t="shared" si="0"/>
        <v>46</v>
      </c>
    </row>
    <row r="28" spans="1:8" x14ac:dyDescent="0.3">
      <c r="A28" s="23"/>
      <c r="B28" s="27"/>
      <c r="C28" s="47"/>
      <c r="D28" s="47"/>
      <c r="E28" s="47">
        <f t="shared" si="1"/>
        <v>-50490</v>
      </c>
      <c r="F28" s="44">
        <v>44495</v>
      </c>
      <c r="G28" s="27">
        <v>57510</v>
      </c>
      <c r="H28" s="25">
        <f t="shared" si="0"/>
        <v>33</v>
      </c>
    </row>
    <row r="29" spans="1:8" x14ac:dyDescent="0.3">
      <c r="A29" s="23"/>
      <c r="B29" s="27"/>
      <c r="C29" s="47"/>
      <c r="D29" s="47"/>
      <c r="E29" s="47">
        <f t="shared" si="1"/>
        <v>-50490</v>
      </c>
      <c r="F29" s="44">
        <v>44496</v>
      </c>
      <c r="G29" s="27">
        <v>57543</v>
      </c>
      <c r="H29" s="25">
        <f t="shared" si="0"/>
        <v>90</v>
      </c>
    </row>
    <row r="30" spans="1:8" x14ac:dyDescent="0.3">
      <c r="A30" s="23"/>
      <c r="B30" s="27"/>
      <c r="C30" s="47"/>
      <c r="D30" s="47"/>
      <c r="E30" s="47">
        <f t="shared" si="1"/>
        <v>-50490</v>
      </c>
      <c r="F30" s="44">
        <v>44497</v>
      </c>
      <c r="G30" s="27">
        <v>57633</v>
      </c>
      <c r="H30" s="25">
        <f t="shared" si="0"/>
        <v>72</v>
      </c>
    </row>
    <row r="31" spans="1:8" x14ac:dyDescent="0.3">
      <c r="A31" s="23"/>
      <c r="B31" s="27"/>
      <c r="C31" s="47"/>
      <c r="D31" s="47"/>
      <c r="E31" s="47">
        <f t="shared" si="1"/>
        <v>-50490</v>
      </c>
      <c r="F31" s="44">
        <v>44498</v>
      </c>
      <c r="G31" s="27">
        <v>57705</v>
      </c>
      <c r="H31" s="25">
        <f t="shared" si="0"/>
        <v>58</v>
      </c>
    </row>
    <row r="32" spans="1:8" x14ac:dyDescent="0.3">
      <c r="A32" s="66"/>
      <c r="B32" s="84"/>
      <c r="C32" s="68"/>
      <c r="D32" s="68"/>
      <c r="E32" s="68">
        <f t="shared" si="1"/>
        <v>-50490</v>
      </c>
      <c r="F32" s="44">
        <v>44499</v>
      </c>
      <c r="G32" s="27">
        <v>57763</v>
      </c>
      <c r="H32" s="25">
        <f t="shared" si="0"/>
        <v>127</v>
      </c>
    </row>
    <row r="33" spans="1:8" x14ac:dyDescent="0.3">
      <c r="A33" s="92"/>
      <c r="B33" s="84"/>
      <c r="C33" s="68"/>
      <c r="D33" s="68"/>
      <c r="E33" s="68"/>
      <c r="F33" s="44">
        <v>44500</v>
      </c>
      <c r="G33" s="27">
        <v>57890</v>
      </c>
      <c r="H33" s="25">
        <f>+F34-Tabla12141516[[#This Row],[KILOMETROS]]</f>
        <v>198</v>
      </c>
    </row>
    <row r="34" spans="1:8" x14ac:dyDescent="0.3">
      <c r="A34" s="70"/>
      <c r="B34" s="27" t="s">
        <v>14</v>
      </c>
      <c r="C34" s="47">
        <f>SUM(C3:C33)</f>
        <v>850000</v>
      </c>
      <c r="D34" s="47">
        <f>SUM(D3:D33)</f>
        <v>900490</v>
      </c>
      <c r="E34" s="47"/>
      <c r="F34">
        <v>58088</v>
      </c>
      <c r="G34" s="1" t="s">
        <v>6</v>
      </c>
      <c r="H34" s="28">
        <f>SUMIFS(H3:H33,H3:H33,"&gt;=0")</f>
        <v>1737</v>
      </c>
    </row>
    <row r="35" spans="1:8" x14ac:dyDescent="0.3">
      <c r="A35" s="70"/>
      <c r="B35" s="1" t="s">
        <v>7</v>
      </c>
      <c r="C35" s="123">
        <f>C34-D34</f>
        <v>-50490</v>
      </c>
      <c r="D35" s="106"/>
      <c r="E35" s="47"/>
      <c r="G35" s="1" t="s">
        <v>24</v>
      </c>
      <c r="H35" s="28">
        <f>AVERAGEIF(H3:H32,"&gt;0",H3:H32)</f>
        <v>61.56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35"/>
  <sheetViews>
    <sheetView workbookViewId="0">
      <selection activeCell="C13" sqref="C13"/>
    </sheetView>
  </sheetViews>
  <sheetFormatPr baseColWidth="10" defaultRowHeight="14.4" x14ac:dyDescent="0.3"/>
  <cols>
    <col min="1" max="1" width="10.33203125" customWidth="1"/>
    <col min="2" max="2" width="24.3320312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/>
      <c r="B3" s="24"/>
      <c r="C3" s="46"/>
      <c r="D3" s="47"/>
      <c r="E3" s="47">
        <f>+C3-D3</f>
        <v>0</v>
      </c>
      <c r="F3" s="44">
        <v>44501</v>
      </c>
      <c r="G3" s="24">
        <v>58088</v>
      </c>
      <c r="H3" s="25">
        <f>+G4-G3</f>
        <v>-58088</v>
      </c>
    </row>
    <row r="4" spans="1:8" x14ac:dyDescent="0.3">
      <c r="A4" s="23"/>
      <c r="B4" s="27"/>
      <c r="C4" s="47"/>
      <c r="D4" s="47"/>
      <c r="E4" s="47">
        <f>E3+C4-D4</f>
        <v>0</v>
      </c>
      <c r="F4" s="44">
        <v>44502</v>
      </c>
      <c r="G4" s="27"/>
      <c r="H4" s="25">
        <f t="shared" ref="H4:H32" si="0">+G5-G4</f>
        <v>0</v>
      </c>
    </row>
    <row r="5" spans="1:8" x14ac:dyDescent="0.3">
      <c r="A5" s="23"/>
      <c r="B5" s="27"/>
      <c r="C5" s="47"/>
      <c r="D5" s="47"/>
      <c r="E5" s="47">
        <f t="shared" ref="E5:E32" si="1">E4+C5-D5</f>
        <v>0</v>
      </c>
      <c r="F5" s="44">
        <v>44503</v>
      </c>
      <c r="G5" s="27"/>
      <c r="H5" s="25">
        <f t="shared" si="0"/>
        <v>0</v>
      </c>
    </row>
    <row r="6" spans="1:8" x14ac:dyDescent="0.3">
      <c r="A6" s="23"/>
      <c r="B6" s="27"/>
      <c r="C6" s="47"/>
      <c r="D6" s="47"/>
      <c r="E6" s="47">
        <f t="shared" si="1"/>
        <v>0</v>
      </c>
      <c r="F6" s="44">
        <v>44504</v>
      </c>
      <c r="G6" s="27"/>
      <c r="H6" s="25">
        <f t="shared" si="0"/>
        <v>0</v>
      </c>
    </row>
    <row r="7" spans="1:8" x14ac:dyDescent="0.3">
      <c r="A7" s="23"/>
      <c r="B7" s="27"/>
      <c r="C7" s="47"/>
      <c r="D7" s="47"/>
      <c r="E7" s="47">
        <f t="shared" si="1"/>
        <v>0</v>
      </c>
      <c r="F7" s="44">
        <v>44505</v>
      </c>
      <c r="G7" s="27"/>
      <c r="H7" s="25">
        <f t="shared" si="0"/>
        <v>0</v>
      </c>
    </row>
    <row r="8" spans="1:8" x14ac:dyDescent="0.3">
      <c r="A8" s="23"/>
      <c r="B8" s="27"/>
      <c r="C8" s="47"/>
      <c r="D8" s="47"/>
      <c r="E8" s="47">
        <f t="shared" si="1"/>
        <v>0</v>
      </c>
      <c r="F8" s="44">
        <v>44506</v>
      </c>
      <c r="G8" s="29"/>
      <c r="H8" s="25">
        <f t="shared" si="0"/>
        <v>0</v>
      </c>
    </row>
    <row r="9" spans="1:8" x14ac:dyDescent="0.3">
      <c r="A9" s="23"/>
      <c r="B9" s="27"/>
      <c r="C9" s="47"/>
      <c r="D9" s="47"/>
      <c r="E9" s="47">
        <f t="shared" si="1"/>
        <v>0</v>
      </c>
      <c r="F9" s="44">
        <v>44507</v>
      </c>
      <c r="G9" s="27"/>
      <c r="H9" s="25">
        <f t="shared" si="0"/>
        <v>0</v>
      </c>
    </row>
    <row r="10" spans="1:8" x14ac:dyDescent="0.3">
      <c r="A10" s="23"/>
      <c r="B10" s="27"/>
      <c r="C10" s="47"/>
      <c r="D10" s="47"/>
      <c r="E10" s="47">
        <f t="shared" si="1"/>
        <v>0</v>
      </c>
      <c r="F10" s="44">
        <v>44508</v>
      </c>
      <c r="G10" s="29"/>
      <c r="H10" s="25">
        <f t="shared" si="0"/>
        <v>0</v>
      </c>
    </row>
    <row r="11" spans="1:8" x14ac:dyDescent="0.3">
      <c r="A11" s="23"/>
      <c r="B11" s="27"/>
      <c r="C11" s="47"/>
      <c r="D11" s="47"/>
      <c r="E11" s="47">
        <f t="shared" si="1"/>
        <v>0</v>
      </c>
      <c r="F11" s="44">
        <v>44509</v>
      </c>
      <c r="G11" s="27"/>
      <c r="H11" s="25">
        <f t="shared" si="0"/>
        <v>0</v>
      </c>
    </row>
    <row r="12" spans="1:8" x14ac:dyDescent="0.3">
      <c r="A12" s="23"/>
      <c r="B12" s="27"/>
      <c r="C12" s="47"/>
      <c r="D12" s="47"/>
      <c r="E12" s="47">
        <f t="shared" si="1"/>
        <v>0</v>
      </c>
      <c r="F12" s="44">
        <v>44510</v>
      </c>
      <c r="G12" s="27"/>
      <c r="H12" s="25">
        <f t="shared" si="0"/>
        <v>0</v>
      </c>
    </row>
    <row r="13" spans="1:8" x14ac:dyDescent="0.3">
      <c r="A13" s="23"/>
      <c r="B13" s="27"/>
      <c r="C13" s="47"/>
      <c r="D13" s="47"/>
      <c r="E13" s="47">
        <f t="shared" si="1"/>
        <v>0</v>
      </c>
      <c r="F13" s="44">
        <v>44511</v>
      </c>
      <c r="G13" s="27"/>
      <c r="H13" s="25">
        <f t="shared" si="0"/>
        <v>0</v>
      </c>
    </row>
    <row r="14" spans="1:8" x14ac:dyDescent="0.3">
      <c r="A14" s="23"/>
      <c r="B14" s="27"/>
      <c r="C14" s="47"/>
      <c r="D14" s="47"/>
      <c r="E14" s="47">
        <f t="shared" si="1"/>
        <v>0</v>
      </c>
      <c r="F14" s="44">
        <v>44512</v>
      </c>
      <c r="G14" s="27"/>
      <c r="H14" s="25">
        <f t="shared" si="0"/>
        <v>0</v>
      </c>
    </row>
    <row r="15" spans="1:8" x14ac:dyDescent="0.3">
      <c r="A15" s="23"/>
      <c r="B15" s="27"/>
      <c r="C15" s="47"/>
      <c r="D15" s="47"/>
      <c r="E15" s="47">
        <f t="shared" si="1"/>
        <v>0</v>
      </c>
      <c r="F15" s="44">
        <v>44513</v>
      </c>
      <c r="G15" s="27"/>
      <c r="H15" s="25">
        <f t="shared" si="0"/>
        <v>0</v>
      </c>
    </row>
    <row r="16" spans="1:8" x14ac:dyDescent="0.3">
      <c r="A16" s="23"/>
      <c r="B16" s="27"/>
      <c r="C16" s="47"/>
      <c r="D16" s="47"/>
      <c r="E16" s="47">
        <f t="shared" si="1"/>
        <v>0</v>
      </c>
      <c r="F16" s="44">
        <v>44514</v>
      </c>
      <c r="G16" s="27"/>
      <c r="H16" s="25">
        <f t="shared" si="0"/>
        <v>0</v>
      </c>
    </row>
    <row r="17" spans="1:8" x14ac:dyDescent="0.3">
      <c r="A17" s="23"/>
      <c r="B17" s="27"/>
      <c r="C17" s="47"/>
      <c r="D17" s="47"/>
      <c r="E17" s="47">
        <f t="shared" si="1"/>
        <v>0</v>
      </c>
      <c r="F17" s="44">
        <v>44515</v>
      </c>
      <c r="G17" s="27"/>
      <c r="H17" s="25">
        <f t="shared" si="0"/>
        <v>0</v>
      </c>
    </row>
    <row r="18" spans="1:8" x14ac:dyDescent="0.3">
      <c r="A18" s="23"/>
      <c r="B18" s="27"/>
      <c r="C18" s="47"/>
      <c r="D18" s="47"/>
      <c r="E18" s="47">
        <f t="shared" si="1"/>
        <v>0</v>
      </c>
      <c r="F18" s="44">
        <v>44516</v>
      </c>
      <c r="G18" s="27"/>
      <c r="H18" s="25">
        <f t="shared" si="0"/>
        <v>0</v>
      </c>
    </row>
    <row r="19" spans="1:8" x14ac:dyDescent="0.3">
      <c r="A19" s="23"/>
      <c r="B19" s="27"/>
      <c r="C19" s="47"/>
      <c r="D19" s="47"/>
      <c r="E19" s="47">
        <f t="shared" si="1"/>
        <v>0</v>
      </c>
      <c r="F19" s="44">
        <v>44517</v>
      </c>
      <c r="G19" s="27"/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0</v>
      </c>
      <c r="F20" s="44">
        <v>44518</v>
      </c>
      <c r="G20" s="27"/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0</v>
      </c>
      <c r="F21" s="44">
        <v>44519</v>
      </c>
      <c r="G21" s="27"/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0</v>
      </c>
      <c r="F22" s="44">
        <v>44520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0</v>
      </c>
      <c r="F23" s="44">
        <v>44521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0</v>
      </c>
      <c r="F24" s="44">
        <v>44522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0</v>
      </c>
      <c r="F25" s="44">
        <v>44523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0</v>
      </c>
      <c r="F26" s="44">
        <v>44524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0</v>
      </c>
      <c r="F27" s="44">
        <v>44525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0</v>
      </c>
      <c r="F28" s="44">
        <v>44526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0</v>
      </c>
      <c r="F29" s="44">
        <v>44527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0</v>
      </c>
      <c r="F30" s="44">
        <v>44528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0</v>
      </c>
      <c r="F31" s="44">
        <v>44529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0</v>
      </c>
      <c r="F32" s="44">
        <v>44530</v>
      </c>
      <c r="G32" s="27"/>
      <c r="H32" s="25">
        <f t="shared" si="0"/>
        <v>0</v>
      </c>
    </row>
    <row r="33" spans="1:8" x14ac:dyDescent="0.3">
      <c r="A33" s="92"/>
      <c r="B33" s="84"/>
      <c r="C33" s="68"/>
      <c r="D33" s="68"/>
      <c r="E33" s="68"/>
      <c r="F33" s="44"/>
      <c r="G33" s="27"/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0</v>
      </c>
      <c r="D34" s="47">
        <f>SUM(D3:D33)</f>
        <v>0</v>
      </c>
      <c r="E34" s="47"/>
      <c r="G34" s="1" t="s">
        <v>6</v>
      </c>
      <c r="H34" s="28">
        <f>SUMIFS(H3:H33,H3:H33,"&gt;=0")</f>
        <v>0</v>
      </c>
    </row>
    <row r="35" spans="1:8" x14ac:dyDescent="0.3">
      <c r="A35" s="70"/>
      <c r="B35" s="1" t="s">
        <v>7</v>
      </c>
      <c r="C35" s="105">
        <f>C34-D34</f>
        <v>0</v>
      </c>
      <c r="D35" s="106"/>
      <c r="E35" s="47"/>
      <c r="G35" s="1" t="s">
        <v>24</v>
      </c>
      <c r="H35" s="28" t="e">
        <f>AVERAGEIF(H3:H32,"&gt;0",H3:H32)</f>
        <v>#DIV/0!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35"/>
  <sheetViews>
    <sheetView topLeftCell="A7" workbookViewId="0">
      <selection activeCell="H35" sqref="H35"/>
    </sheetView>
  </sheetViews>
  <sheetFormatPr baseColWidth="10" defaultRowHeight="14.4" x14ac:dyDescent="0.3"/>
  <cols>
    <col min="2" max="2" width="30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/>
      <c r="B3" s="24"/>
      <c r="C3" s="46">
        <v>150000</v>
      </c>
      <c r="D3" s="47"/>
      <c r="E3" s="47">
        <f>+C3-D3</f>
        <v>150000</v>
      </c>
      <c r="F3" s="44">
        <v>44531</v>
      </c>
      <c r="G3" s="24">
        <v>60585</v>
      </c>
      <c r="H3" s="25">
        <f>+G4-G3</f>
        <v>-60585</v>
      </c>
    </row>
    <row r="4" spans="1:8" x14ac:dyDescent="0.3">
      <c r="A4" s="23"/>
      <c r="B4" s="27"/>
      <c r="C4" s="47">
        <v>300000</v>
      </c>
      <c r="D4" s="47"/>
      <c r="E4" s="47">
        <f>E3+C4-D4</f>
        <v>450000</v>
      </c>
      <c r="F4" s="44">
        <v>44532</v>
      </c>
      <c r="G4" s="27"/>
      <c r="H4" s="25">
        <f t="shared" ref="H4:H32" si="0">+G5-G4</f>
        <v>0</v>
      </c>
    </row>
    <row r="5" spans="1:8" x14ac:dyDescent="0.3">
      <c r="A5" s="23"/>
      <c r="B5" s="27"/>
      <c r="C5" s="47">
        <v>320000</v>
      </c>
      <c r="D5" s="47"/>
      <c r="E5" s="47">
        <f t="shared" ref="E5:E32" si="1">E4+C5-D5</f>
        <v>770000</v>
      </c>
      <c r="F5" s="44">
        <v>44533</v>
      </c>
      <c r="G5" s="27"/>
      <c r="H5" s="25">
        <f t="shared" si="0"/>
        <v>0</v>
      </c>
    </row>
    <row r="6" spans="1:8" x14ac:dyDescent="0.3">
      <c r="A6" s="23"/>
      <c r="B6" s="27"/>
      <c r="C6" s="47">
        <v>150000</v>
      </c>
      <c r="D6" s="47"/>
      <c r="E6" s="47">
        <f t="shared" si="1"/>
        <v>920000</v>
      </c>
      <c r="F6" s="44">
        <v>44534</v>
      </c>
      <c r="G6" s="27"/>
      <c r="H6" s="25">
        <f t="shared" si="0"/>
        <v>0</v>
      </c>
    </row>
    <row r="7" spans="1:8" x14ac:dyDescent="0.3">
      <c r="A7" s="23"/>
      <c r="B7" s="27" t="s">
        <v>150</v>
      </c>
      <c r="C7" s="47"/>
      <c r="D7" s="47">
        <v>320000</v>
      </c>
      <c r="E7" s="47">
        <f t="shared" si="1"/>
        <v>600000</v>
      </c>
      <c r="F7" s="44">
        <v>44535</v>
      </c>
      <c r="G7" s="27"/>
      <c r="H7" s="25">
        <f t="shared" si="0"/>
        <v>0</v>
      </c>
    </row>
    <row r="8" spans="1:8" x14ac:dyDescent="0.3">
      <c r="A8" s="23"/>
      <c r="B8" s="27" t="s">
        <v>149</v>
      </c>
      <c r="C8" s="47"/>
      <c r="D8" s="47">
        <v>217005</v>
      </c>
      <c r="E8" s="47">
        <f t="shared" si="1"/>
        <v>382995</v>
      </c>
      <c r="F8" s="44">
        <v>44536</v>
      </c>
      <c r="G8" s="29"/>
      <c r="H8" s="25">
        <f t="shared" si="0"/>
        <v>0</v>
      </c>
    </row>
    <row r="9" spans="1:8" x14ac:dyDescent="0.3">
      <c r="A9" s="23"/>
      <c r="B9" s="27" t="s">
        <v>41</v>
      </c>
      <c r="C9" s="47"/>
      <c r="D9" s="47">
        <v>20000</v>
      </c>
      <c r="E9" s="47">
        <f t="shared" si="1"/>
        <v>362995</v>
      </c>
      <c r="F9" s="44">
        <v>44537</v>
      </c>
      <c r="G9" s="27"/>
      <c r="H9" s="25">
        <f t="shared" si="0"/>
        <v>0</v>
      </c>
    </row>
    <row r="10" spans="1:8" x14ac:dyDescent="0.3">
      <c r="A10" s="23"/>
      <c r="B10" s="27" t="s">
        <v>35</v>
      </c>
      <c r="C10" s="47"/>
      <c r="D10" s="47">
        <v>453506</v>
      </c>
      <c r="E10" s="47">
        <f t="shared" si="1"/>
        <v>-90511</v>
      </c>
      <c r="F10" s="44">
        <v>44538</v>
      </c>
      <c r="G10" s="29"/>
      <c r="H10" s="25">
        <f t="shared" si="0"/>
        <v>0</v>
      </c>
    </row>
    <row r="11" spans="1:8" x14ac:dyDescent="0.3">
      <c r="A11" s="23"/>
      <c r="B11" s="27" t="s">
        <v>152</v>
      </c>
      <c r="C11" s="47">
        <v>525000</v>
      </c>
      <c r="D11" s="47"/>
      <c r="E11" s="47">
        <f t="shared" si="1"/>
        <v>434489</v>
      </c>
      <c r="F11" s="44">
        <v>44539</v>
      </c>
      <c r="G11" s="27"/>
      <c r="H11" s="25">
        <f t="shared" si="0"/>
        <v>0</v>
      </c>
    </row>
    <row r="12" spans="1:8" x14ac:dyDescent="0.3">
      <c r="A12" s="23"/>
      <c r="B12" s="27" t="s">
        <v>152</v>
      </c>
      <c r="C12" s="47"/>
      <c r="D12" s="47">
        <v>525000</v>
      </c>
      <c r="E12" s="47">
        <f t="shared" si="1"/>
        <v>-90511</v>
      </c>
      <c r="F12" s="44">
        <v>44540</v>
      </c>
      <c r="G12" s="27"/>
      <c r="H12" s="25">
        <f t="shared" si="0"/>
        <v>0</v>
      </c>
    </row>
    <row r="13" spans="1:8" x14ac:dyDescent="0.3">
      <c r="A13" s="23"/>
      <c r="B13" s="27" t="s">
        <v>152</v>
      </c>
      <c r="C13" s="47">
        <v>525000</v>
      </c>
      <c r="D13" s="47"/>
      <c r="E13" s="47">
        <f t="shared" si="1"/>
        <v>434489</v>
      </c>
      <c r="F13" s="44">
        <v>44541</v>
      </c>
      <c r="G13" s="27"/>
      <c r="H13" s="25">
        <f t="shared" si="0"/>
        <v>0</v>
      </c>
    </row>
    <row r="14" spans="1:8" x14ac:dyDescent="0.3">
      <c r="A14" s="23"/>
      <c r="B14" s="27" t="s">
        <v>152</v>
      </c>
      <c r="C14" s="47"/>
      <c r="D14" s="47">
        <v>525000</v>
      </c>
      <c r="E14" s="47">
        <f t="shared" si="1"/>
        <v>-90511</v>
      </c>
      <c r="F14" s="44">
        <v>44542</v>
      </c>
      <c r="G14" s="27"/>
      <c r="H14" s="25">
        <f t="shared" si="0"/>
        <v>0</v>
      </c>
    </row>
    <row r="15" spans="1:8" x14ac:dyDescent="0.3">
      <c r="A15" s="23"/>
      <c r="B15" s="27" t="s">
        <v>153</v>
      </c>
      <c r="C15" s="47">
        <v>300000</v>
      </c>
      <c r="D15" s="47"/>
      <c r="E15" s="47">
        <f t="shared" si="1"/>
        <v>209489</v>
      </c>
      <c r="F15" s="44">
        <v>44543</v>
      </c>
      <c r="G15" s="27"/>
      <c r="H15" s="25">
        <f t="shared" si="0"/>
        <v>0</v>
      </c>
    </row>
    <row r="16" spans="1:8" x14ac:dyDescent="0.3">
      <c r="A16" s="23"/>
      <c r="B16" s="27"/>
      <c r="C16" s="47"/>
      <c r="D16" s="47">
        <v>300000</v>
      </c>
      <c r="E16" s="47">
        <f t="shared" si="1"/>
        <v>-90511</v>
      </c>
      <c r="F16" s="44">
        <v>44544</v>
      </c>
      <c r="G16" s="27"/>
      <c r="H16" s="25">
        <f t="shared" si="0"/>
        <v>0</v>
      </c>
    </row>
    <row r="17" spans="1:8" x14ac:dyDescent="0.3">
      <c r="A17" s="23"/>
      <c r="B17" s="27"/>
      <c r="C17" s="47"/>
      <c r="D17" s="47"/>
      <c r="E17" s="47">
        <f t="shared" si="1"/>
        <v>-90511</v>
      </c>
      <c r="F17" s="44">
        <v>44545</v>
      </c>
      <c r="G17" s="27"/>
      <c r="H17" s="25">
        <f t="shared" si="0"/>
        <v>0</v>
      </c>
    </row>
    <row r="18" spans="1:8" x14ac:dyDescent="0.3">
      <c r="A18" s="23"/>
      <c r="B18" s="27"/>
      <c r="C18" s="47"/>
      <c r="D18" s="47"/>
      <c r="E18" s="47">
        <f t="shared" si="1"/>
        <v>-90511</v>
      </c>
      <c r="F18" s="44">
        <v>44546</v>
      </c>
      <c r="G18" s="27"/>
      <c r="H18" s="25">
        <f t="shared" si="0"/>
        <v>0</v>
      </c>
    </row>
    <row r="19" spans="1:8" x14ac:dyDescent="0.3">
      <c r="A19" s="23"/>
      <c r="B19" s="27"/>
      <c r="C19" s="47"/>
      <c r="D19" s="47"/>
      <c r="E19" s="47">
        <f t="shared" si="1"/>
        <v>-90511</v>
      </c>
      <c r="F19" s="44">
        <v>44547</v>
      </c>
      <c r="G19" s="27"/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-90511</v>
      </c>
      <c r="F20" s="44">
        <v>44548</v>
      </c>
      <c r="G20" s="27"/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-90511</v>
      </c>
      <c r="F21" s="44">
        <v>44549</v>
      </c>
      <c r="G21" s="27"/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-90511</v>
      </c>
      <c r="F22" s="44">
        <v>44550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-90511</v>
      </c>
      <c r="F23" s="44">
        <v>44551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-90511</v>
      </c>
      <c r="F24" s="44">
        <v>44552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-90511</v>
      </c>
      <c r="F25" s="44">
        <v>44553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-90511</v>
      </c>
      <c r="F26" s="44">
        <v>44554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-90511</v>
      </c>
      <c r="F27" s="44">
        <v>44555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-90511</v>
      </c>
      <c r="F28" s="44">
        <v>44556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-90511</v>
      </c>
      <c r="F29" s="44">
        <v>44557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-90511</v>
      </c>
      <c r="F30" s="44">
        <v>44558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-90511</v>
      </c>
      <c r="F31" s="44">
        <v>44559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-90511</v>
      </c>
      <c r="F32" s="44">
        <v>44560</v>
      </c>
      <c r="G32" s="27"/>
      <c r="H32" s="25">
        <f t="shared" si="0"/>
        <v>62370</v>
      </c>
    </row>
    <row r="33" spans="1:8" x14ac:dyDescent="0.3">
      <c r="A33" s="92"/>
      <c r="B33" s="84"/>
      <c r="C33" s="68"/>
      <c r="D33" s="68"/>
      <c r="E33" s="68"/>
      <c r="F33" s="44">
        <v>44561</v>
      </c>
      <c r="G33" s="27">
        <v>62370</v>
      </c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2270000</v>
      </c>
      <c r="D34" s="47">
        <f>SUM(D3:D33)</f>
        <v>2360511</v>
      </c>
      <c r="E34" s="47"/>
      <c r="G34" s="1" t="s">
        <v>6</v>
      </c>
      <c r="H34" s="28">
        <f>+G33-G3</f>
        <v>1785</v>
      </c>
    </row>
    <row r="35" spans="1:8" x14ac:dyDescent="0.3">
      <c r="A35" s="70"/>
      <c r="B35" s="1" t="s">
        <v>7</v>
      </c>
      <c r="C35" s="105">
        <f>C34-D34</f>
        <v>-90511</v>
      </c>
      <c r="D35" s="106"/>
      <c r="E35" s="47"/>
      <c r="G35" s="1" t="s">
        <v>24</v>
      </c>
      <c r="H35" s="28">
        <f>AVERAGEIF(H3:H32,"&gt;0",H3:H32)</f>
        <v>62370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6"/>
  <sheetViews>
    <sheetView workbookViewId="0">
      <selection activeCell="D12" sqref="D12"/>
    </sheetView>
  </sheetViews>
  <sheetFormatPr baseColWidth="10" defaultRowHeight="14.4" x14ac:dyDescent="0.3"/>
  <cols>
    <col min="2" max="2" width="29.3320312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125"/>
      <c r="B3" s="126"/>
      <c r="C3" s="127"/>
      <c r="D3" s="127">
        <v>90511</v>
      </c>
      <c r="E3" s="47">
        <f>+C3-D3</f>
        <v>-90511</v>
      </c>
      <c r="F3" s="124"/>
      <c r="G3" s="126"/>
      <c r="H3" s="128"/>
    </row>
    <row r="4" spans="1:8" x14ac:dyDescent="0.3">
      <c r="A4" s="23">
        <v>44564</v>
      </c>
      <c r="B4" s="24" t="s">
        <v>135</v>
      </c>
      <c r="C4" s="46"/>
      <c r="D4" s="47">
        <v>75900</v>
      </c>
      <c r="E4" s="47">
        <f>+E3+Tabla121415161819[[#This Row],[ENTRADA]]-Tabla121415161819[[#This Row],[SALIDA]]</f>
        <v>-166411</v>
      </c>
      <c r="F4" s="44">
        <v>44562</v>
      </c>
      <c r="G4" s="24"/>
      <c r="H4" s="25">
        <f>+G5-G4</f>
        <v>0</v>
      </c>
    </row>
    <row r="5" spans="1:8" x14ac:dyDescent="0.3">
      <c r="A5" s="23">
        <v>44568</v>
      </c>
      <c r="B5" s="27" t="s">
        <v>136</v>
      </c>
      <c r="C5" s="47"/>
      <c r="D5" s="47">
        <v>135003</v>
      </c>
      <c r="E5" s="47">
        <f>E4+C5-D5</f>
        <v>-301414</v>
      </c>
      <c r="F5" s="44">
        <v>44563</v>
      </c>
      <c r="G5" s="27"/>
      <c r="H5" s="25">
        <f t="shared" ref="H5:H33" si="0">+G6-G5</f>
        <v>0</v>
      </c>
    </row>
    <row r="6" spans="1:8" x14ac:dyDescent="0.3">
      <c r="A6" s="23">
        <v>44581</v>
      </c>
      <c r="B6" s="27" t="s">
        <v>137</v>
      </c>
      <c r="C6" s="47"/>
      <c r="D6" s="47">
        <v>160000</v>
      </c>
      <c r="E6" s="47">
        <f t="shared" ref="E6:E33" si="1">E5+C6-D6</f>
        <v>-461414</v>
      </c>
      <c r="F6" s="44">
        <v>44564</v>
      </c>
      <c r="G6" s="27"/>
      <c r="H6" s="25">
        <f t="shared" si="0"/>
        <v>0</v>
      </c>
    </row>
    <row r="7" spans="1:8" x14ac:dyDescent="0.3">
      <c r="A7" s="23">
        <v>44588</v>
      </c>
      <c r="B7" s="27" t="s">
        <v>138</v>
      </c>
      <c r="C7" s="47"/>
      <c r="D7" s="47">
        <v>50000</v>
      </c>
      <c r="E7" s="47">
        <f t="shared" si="1"/>
        <v>-511414</v>
      </c>
      <c r="F7" s="44">
        <v>44565</v>
      </c>
      <c r="G7" s="27"/>
      <c r="H7" s="25">
        <f t="shared" si="0"/>
        <v>0</v>
      </c>
    </row>
    <row r="8" spans="1:8" x14ac:dyDescent="0.3">
      <c r="A8" s="23">
        <v>44588</v>
      </c>
      <c r="B8" s="27" t="s">
        <v>139</v>
      </c>
      <c r="C8" s="47"/>
      <c r="D8" s="47">
        <v>28000</v>
      </c>
      <c r="E8" s="47">
        <f t="shared" si="1"/>
        <v>-539414</v>
      </c>
      <c r="F8" s="44">
        <v>44566</v>
      </c>
      <c r="G8" s="27"/>
      <c r="H8" s="25">
        <f t="shared" si="0"/>
        <v>0</v>
      </c>
    </row>
    <row r="9" spans="1:8" x14ac:dyDescent="0.3">
      <c r="A9" s="23">
        <v>44588</v>
      </c>
      <c r="B9" s="27" t="s">
        <v>140</v>
      </c>
      <c r="C9" s="47"/>
      <c r="D9" s="47">
        <v>26050</v>
      </c>
      <c r="E9" s="47">
        <f t="shared" si="1"/>
        <v>-565464</v>
      </c>
      <c r="F9" s="44">
        <v>44567</v>
      </c>
      <c r="G9" s="29"/>
      <c r="H9" s="25">
        <f t="shared" si="0"/>
        <v>0</v>
      </c>
    </row>
    <row r="10" spans="1:8" x14ac:dyDescent="0.3">
      <c r="A10" s="23">
        <v>44581</v>
      </c>
      <c r="B10" s="27"/>
      <c r="C10" s="47">
        <v>160000</v>
      </c>
      <c r="D10" s="47"/>
      <c r="E10" s="47">
        <f t="shared" si="1"/>
        <v>-405464</v>
      </c>
      <c r="F10" s="44">
        <v>44568</v>
      </c>
      <c r="G10" s="27"/>
      <c r="H10" s="25">
        <f t="shared" si="0"/>
        <v>0</v>
      </c>
    </row>
    <row r="11" spans="1:8" x14ac:dyDescent="0.3">
      <c r="A11" s="23">
        <v>44588</v>
      </c>
      <c r="B11" s="27"/>
      <c r="C11" s="47">
        <v>70000</v>
      </c>
      <c r="D11" s="47"/>
      <c r="E11" s="47">
        <f t="shared" si="1"/>
        <v>-335464</v>
      </c>
      <c r="F11" s="44">
        <v>44569</v>
      </c>
      <c r="G11" s="29"/>
      <c r="H11" s="25">
        <f t="shared" si="0"/>
        <v>0</v>
      </c>
    </row>
    <row r="12" spans="1:8" x14ac:dyDescent="0.3">
      <c r="A12" s="23"/>
      <c r="B12" s="27" t="s">
        <v>151</v>
      </c>
      <c r="C12" s="47">
        <v>540000</v>
      </c>
      <c r="D12" s="47"/>
      <c r="E12" s="47">
        <f t="shared" si="1"/>
        <v>204536</v>
      </c>
      <c r="F12" s="44">
        <v>44570</v>
      </c>
      <c r="G12" s="27"/>
      <c r="H12" s="25">
        <f t="shared" si="0"/>
        <v>0</v>
      </c>
    </row>
    <row r="13" spans="1:8" x14ac:dyDescent="0.3">
      <c r="A13" s="23"/>
      <c r="B13" s="27" t="s">
        <v>151</v>
      </c>
      <c r="C13" s="47">
        <v>600000</v>
      </c>
      <c r="D13" s="47"/>
      <c r="E13" s="47">
        <f t="shared" si="1"/>
        <v>804536</v>
      </c>
      <c r="F13" s="44">
        <v>44571</v>
      </c>
      <c r="G13" s="27"/>
      <c r="H13" s="25">
        <f t="shared" si="0"/>
        <v>0</v>
      </c>
    </row>
    <row r="14" spans="1:8" x14ac:dyDescent="0.3">
      <c r="A14" s="23"/>
      <c r="B14" s="27" t="s">
        <v>151</v>
      </c>
      <c r="C14" s="47"/>
      <c r="D14" s="47">
        <v>558500</v>
      </c>
      <c r="E14" s="47">
        <f t="shared" si="1"/>
        <v>246036</v>
      </c>
      <c r="F14" s="44">
        <v>44572</v>
      </c>
      <c r="G14" s="27"/>
      <c r="H14" s="25">
        <f t="shared" si="0"/>
        <v>0</v>
      </c>
    </row>
    <row r="15" spans="1:8" x14ac:dyDescent="0.3">
      <c r="A15" s="23"/>
      <c r="B15" s="27" t="s">
        <v>151</v>
      </c>
      <c r="C15" s="47"/>
      <c r="D15" s="47">
        <v>558500</v>
      </c>
      <c r="E15" s="47">
        <f t="shared" si="1"/>
        <v>-312464</v>
      </c>
      <c r="F15" s="44">
        <v>44573</v>
      </c>
      <c r="G15" s="27"/>
      <c r="H15" s="25">
        <f t="shared" si="0"/>
        <v>0</v>
      </c>
    </row>
    <row r="16" spans="1:8" x14ac:dyDescent="0.3">
      <c r="A16" s="23"/>
      <c r="B16" s="27"/>
      <c r="C16" s="47"/>
      <c r="D16" s="47">
        <v>126000</v>
      </c>
      <c r="E16" s="47">
        <f t="shared" si="1"/>
        <v>-438464</v>
      </c>
      <c r="F16" s="44">
        <v>44574</v>
      </c>
      <c r="G16" s="27"/>
      <c r="H16" s="25">
        <f t="shared" si="0"/>
        <v>0</v>
      </c>
    </row>
    <row r="17" spans="1:8" x14ac:dyDescent="0.3">
      <c r="A17" s="23"/>
      <c r="B17" s="27"/>
      <c r="C17" s="47"/>
      <c r="D17" s="47"/>
      <c r="E17" s="47">
        <f t="shared" si="1"/>
        <v>-438464</v>
      </c>
      <c r="F17" s="44">
        <v>44575</v>
      </c>
      <c r="G17" s="27"/>
      <c r="H17" s="25">
        <f t="shared" si="0"/>
        <v>0</v>
      </c>
    </row>
    <row r="18" spans="1:8" x14ac:dyDescent="0.3">
      <c r="A18" s="23"/>
      <c r="B18" s="27"/>
      <c r="C18" s="47"/>
      <c r="D18" s="47"/>
      <c r="E18" s="47">
        <f t="shared" si="1"/>
        <v>-438464</v>
      </c>
      <c r="F18" s="44">
        <v>44576</v>
      </c>
      <c r="G18" s="27"/>
      <c r="H18" s="25">
        <f t="shared" si="0"/>
        <v>0</v>
      </c>
    </row>
    <row r="19" spans="1:8" x14ac:dyDescent="0.3">
      <c r="A19" s="23"/>
      <c r="B19" s="27"/>
      <c r="C19" s="47"/>
      <c r="D19" s="47"/>
      <c r="E19" s="47">
        <f t="shared" si="1"/>
        <v>-438464</v>
      </c>
      <c r="F19" s="44">
        <v>44577</v>
      </c>
      <c r="G19" s="27"/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-438464</v>
      </c>
      <c r="F20" s="44">
        <v>44578</v>
      </c>
      <c r="G20" s="27"/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-438464</v>
      </c>
      <c r="F21" s="44">
        <v>44579</v>
      </c>
      <c r="G21" s="27"/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-438464</v>
      </c>
      <c r="F22" s="44">
        <v>44580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-438464</v>
      </c>
      <c r="F23" s="44">
        <v>44581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-438464</v>
      </c>
      <c r="F24" s="44">
        <v>44582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-438464</v>
      </c>
      <c r="F25" s="44">
        <v>44583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-438464</v>
      </c>
      <c r="F26" s="44">
        <v>44584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-438464</v>
      </c>
      <c r="F27" s="44">
        <v>44585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-438464</v>
      </c>
      <c r="F28" s="44">
        <v>44586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-438464</v>
      </c>
      <c r="F29" s="44">
        <v>44587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-438464</v>
      </c>
      <c r="F30" s="44">
        <v>44588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-438464</v>
      </c>
      <c r="F31" s="44">
        <v>44589</v>
      </c>
      <c r="G31" s="27"/>
      <c r="H31" s="25">
        <f t="shared" si="0"/>
        <v>0</v>
      </c>
    </row>
    <row r="32" spans="1:8" x14ac:dyDescent="0.3">
      <c r="A32" s="23"/>
      <c r="B32" s="27"/>
      <c r="C32" s="47"/>
      <c r="D32" s="47"/>
      <c r="E32" s="47">
        <f t="shared" si="1"/>
        <v>-438464</v>
      </c>
      <c r="F32" s="44">
        <v>44590</v>
      </c>
      <c r="G32" s="27"/>
      <c r="H32" s="25">
        <f t="shared" si="0"/>
        <v>0</v>
      </c>
    </row>
    <row r="33" spans="1:8" x14ac:dyDescent="0.3">
      <c r="A33" s="66"/>
      <c r="B33" s="84"/>
      <c r="C33" s="68"/>
      <c r="D33" s="68"/>
      <c r="E33" s="68">
        <f t="shared" si="1"/>
        <v>-438464</v>
      </c>
      <c r="F33" s="44">
        <v>44591</v>
      </c>
      <c r="G33" s="27"/>
      <c r="H33" s="25">
        <f t="shared" si="0"/>
        <v>0</v>
      </c>
    </row>
    <row r="34" spans="1:8" x14ac:dyDescent="0.3">
      <c r="A34" s="92"/>
      <c r="B34" s="84"/>
      <c r="C34" s="68"/>
      <c r="D34" s="68"/>
      <c r="E34" s="68"/>
      <c r="F34" s="44">
        <v>44592</v>
      </c>
      <c r="G34" s="27"/>
      <c r="H34" s="25" t="e">
        <f>+#REF!-G34</f>
        <v>#REF!</v>
      </c>
    </row>
    <row r="35" spans="1:8" x14ac:dyDescent="0.3">
      <c r="A35" s="70"/>
      <c r="B35" s="27" t="s">
        <v>14</v>
      </c>
      <c r="C35" s="47">
        <f>SUM(C4:C34)</f>
        <v>1370000</v>
      </c>
      <c r="D35" s="47">
        <f>SUM(D4:D34)</f>
        <v>1717953</v>
      </c>
      <c r="E35" s="47"/>
      <c r="G35" s="1" t="s">
        <v>6</v>
      </c>
      <c r="H35" s="28">
        <f>SUMIFS(H4:H34,H4:H34,"&gt;=0")</f>
        <v>0</v>
      </c>
    </row>
    <row r="36" spans="1:8" x14ac:dyDescent="0.3">
      <c r="A36" s="70"/>
      <c r="B36" s="1" t="s">
        <v>7</v>
      </c>
      <c r="C36" s="105">
        <f>C35-D35</f>
        <v>-347953</v>
      </c>
      <c r="D36" s="106"/>
      <c r="E36" s="47"/>
      <c r="G36" s="1" t="s">
        <v>24</v>
      </c>
      <c r="H36" s="28" t="e">
        <f>AVERAGEIF(H4:H33,"&gt;0",H4:H33)</f>
        <v>#DIV/0!</v>
      </c>
    </row>
  </sheetData>
  <mergeCells count="1">
    <mergeCell ref="A1:H1"/>
  </mergeCells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E04E7-891D-446D-B406-BA354CF9E29B}">
  <dimension ref="A1:H35"/>
  <sheetViews>
    <sheetView topLeftCell="A29" workbookViewId="0">
      <selection activeCell="D7" sqref="D7"/>
    </sheetView>
  </sheetViews>
  <sheetFormatPr baseColWidth="10" defaultRowHeight="14.4" x14ac:dyDescent="0.3"/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23">
        <v>44600</v>
      </c>
      <c r="B3" s="24"/>
      <c r="C3" s="46">
        <v>180000</v>
      </c>
      <c r="D3" s="47"/>
      <c r="E3" s="47">
        <f>+C3-D3</f>
        <v>180000</v>
      </c>
      <c r="F3" s="44">
        <v>44593</v>
      </c>
      <c r="G3" s="24">
        <v>64760</v>
      </c>
      <c r="H3" s="25">
        <f>+G4-G3</f>
        <v>-64760</v>
      </c>
    </row>
    <row r="4" spans="1:8" x14ac:dyDescent="0.3">
      <c r="A4" s="23">
        <v>44600</v>
      </c>
      <c r="B4" s="27" t="s">
        <v>142</v>
      </c>
      <c r="C4" s="47"/>
      <c r="D4" s="47">
        <v>150034</v>
      </c>
      <c r="E4" s="47">
        <f>E3+C4-D4</f>
        <v>29966</v>
      </c>
      <c r="F4" s="44">
        <v>44594</v>
      </c>
      <c r="G4" s="27"/>
      <c r="H4" s="25">
        <f t="shared" ref="H4:H32" si="0">+G5-G4</f>
        <v>0</v>
      </c>
    </row>
    <row r="5" spans="1:8" x14ac:dyDescent="0.3">
      <c r="A5" s="23">
        <v>44599</v>
      </c>
      <c r="B5" s="27" t="s">
        <v>141</v>
      </c>
      <c r="C5" s="47"/>
      <c r="D5" s="47">
        <v>30000</v>
      </c>
      <c r="E5" s="47">
        <f t="shared" ref="E5:E32" si="1">E4+C5-D5</f>
        <v>-34</v>
      </c>
      <c r="F5" s="44">
        <v>44595</v>
      </c>
      <c r="G5" s="27"/>
      <c r="H5" s="25">
        <f t="shared" si="0"/>
        <v>0</v>
      </c>
    </row>
    <row r="6" spans="1:8" x14ac:dyDescent="0.3">
      <c r="A6" s="23">
        <v>44606</v>
      </c>
      <c r="B6" s="27"/>
      <c r="C6" s="47">
        <v>750000</v>
      </c>
      <c r="D6" s="47"/>
      <c r="E6" s="47">
        <f t="shared" si="1"/>
        <v>749966</v>
      </c>
      <c r="F6" s="44">
        <v>44596</v>
      </c>
      <c r="G6" s="27"/>
      <c r="H6" s="25">
        <f t="shared" si="0"/>
        <v>0</v>
      </c>
    </row>
    <row r="7" spans="1:8" x14ac:dyDescent="0.3">
      <c r="A7" s="23">
        <v>44606</v>
      </c>
      <c r="B7" s="27" t="s">
        <v>143</v>
      </c>
      <c r="C7" s="47"/>
      <c r="D7" s="47">
        <v>160021</v>
      </c>
      <c r="E7" s="47">
        <f t="shared" si="1"/>
        <v>589945</v>
      </c>
      <c r="F7" s="44">
        <v>44597</v>
      </c>
      <c r="G7" s="27"/>
      <c r="H7" s="25">
        <f t="shared" si="0"/>
        <v>0</v>
      </c>
    </row>
    <row r="8" spans="1:8" x14ac:dyDescent="0.3">
      <c r="A8" s="23">
        <v>44613</v>
      </c>
      <c r="B8" s="27" t="s">
        <v>141</v>
      </c>
      <c r="C8" s="47"/>
      <c r="D8" s="47">
        <v>30000</v>
      </c>
      <c r="E8" s="47">
        <f t="shared" si="1"/>
        <v>559945</v>
      </c>
      <c r="F8" s="44">
        <v>44598</v>
      </c>
      <c r="G8" s="29"/>
      <c r="H8" s="25">
        <f t="shared" si="0"/>
        <v>0</v>
      </c>
    </row>
    <row r="9" spans="1:8" x14ac:dyDescent="0.3">
      <c r="A9" s="23">
        <v>44614</v>
      </c>
      <c r="B9" s="27" t="s">
        <v>41</v>
      </c>
      <c r="C9" s="47"/>
      <c r="D9" s="47">
        <v>22140</v>
      </c>
      <c r="E9" s="47">
        <f t="shared" si="1"/>
        <v>537805</v>
      </c>
      <c r="F9" s="44">
        <v>44599</v>
      </c>
      <c r="G9" s="27"/>
      <c r="H9" s="25">
        <f t="shared" si="0"/>
        <v>0</v>
      </c>
    </row>
    <row r="10" spans="1:8" x14ac:dyDescent="0.3">
      <c r="A10" s="23">
        <v>44615</v>
      </c>
      <c r="B10" s="27"/>
      <c r="C10" s="47">
        <v>200000</v>
      </c>
      <c r="D10" s="47"/>
      <c r="E10" s="47">
        <f t="shared" si="1"/>
        <v>737805</v>
      </c>
      <c r="F10" s="44">
        <v>44600</v>
      </c>
      <c r="G10" s="29"/>
      <c r="H10" s="25">
        <f t="shared" si="0"/>
        <v>0</v>
      </c>
    </row>
    <row r="11" spans="1:8" x14ac:dyDescent="0.3">
      <c r="A11" s="23">
        <v>44616</v>
      </c>
      <c r="B11" s="27" t="s">
        <v>144</v>
      </c>
      <c r="C11" s="47"/>
      <c r="D11" s="47">
        <v>158169</v>
      </c>
      <c r="E11" s="47">
        <f t="shared" si="1"/>
        <v>579636</v>
      </c>
      <c r="F11" s="44">
        <v>44601</v>
      </c>
      <c r="G11" s="27"/>
      <c r="H11" s="25">
        <f t="shared" si="0"/>
        <v>0</v>
      </c>
    </row>
    <row r="12" spans="1:8" x14ac:dyDescent="0.3">
      <c r="A12" s="23">
        <v>44619</v>
      </c>
      <c r="B12" s="27"/>
      <c r="C12" s="47">
        <v>900000</v>
      </c>
      <c r="D12" s="47"/>
      <c r="E12" s="47">
        <f t="shared" si="1"/>
        <v>1479636</v>
      </c>
      <c r="F12" s="44">
        <v>44602</v>
      </c>
      <c r="G12" s="27"/>
      <c r="H12" s="25">
        <f t="shared" si="0"/>
        <v>0</v>
      </c>
    </row>
    <row r="13" spans="1:8" x14ac:dyDescent="0.3">
      <c r="A13" s="23">
        <v>44619</v>
      </c>
      <c r="B13" s="27" t="s">
        <v>145</v>
      </c>
      <c r="C13" s="47"/>
      <c r="D13" s="47">
        <v>120253</v>
      </c>
      <c r="E13" s="47">
        <f t="shared" si="1"/>
        <v>1359383</v>
      </c>
      <c r="F13" s="44">
        <v>44603</v>
      </c>
      <c r="G13" s="27"/>
      <c r="H13" s="25">
        <f t="shared" si="0"/>
        <v>0</v>
      </c>
    </row>
    <row r="14" spans="1:8" x14ac:dyDescent="0.3">
      <c r="A14" s="23">
        <v>44620</v>
      </c>
      <c r="B14" s="27" t="s">
        <v>122</v>
      </c>
      <c r="C14" s="47"/>
      <c r="D14" s="47">
        <f>13300+13500+13300+13500</f>
        <v>53600</v>
      </c>
      <c r="E14" s="47">
        <f t="shared" si="1"/>
        <v>1305783</v>
      </c>
      <c r="F14" s="44">
        <v>44604</v>
      </c>
      <c r="G14" s="27"/>
      <c r="H14" s="25">
        <f t="shared" si="0"/>
        <v>0</v>
      </c>
    </row>
    <row r="15" spans="1:8" x14ac:dyDescent="0.3">
      <c r="A15" s="23"/>
      <c r="B15" s="27"/>
      <c r="C15" s="47"/>
      <c r="D15" s="47">
        <v>558500</v>
      </c>
      <c r="E15" s="47">
        <f t="shared" si="1"/>
        <v>747283</v>
      </c>
      <c r="F15" s="44">
        <v>44605</v>
      </c>
      <c r="G15" s="27"/>
      <c r="H15" s="25">
        <f t="shared" si="0"/>
        <v>0</v>
      </c>
    </row>
    <row r="16" spans="1:8" x14ac:dyDescent="0.3">
      <c r="A16" s="23"/>
      <c r="B16" s="27"/>
      <c r="C16" s="47"/>
      <c r="D16" s="47">
        <v>558500</v>
      </c>
      <c r="E16" s="47">
        <f t="shared" si="1"/>
        <v>188783</v>
      </c>
      <c r="F16" s="44">
        <v>44606</v>
      </c>
      <c r="G16" s="27"/>
      <c r="H16" s="25">
        <f t="shared" si="0"/>
        <v>0</v>
      </c>
    </row>
    <row r="17" spans="1:8" x14ac:dyDescent="0.3">
      <c r="A17" s="23"/>
      <c r="B17" s="27"/>
      <c r="C17" s="47"/>
      <c r="D17" s="47">
        <v>438464</v>
      </c>
      <c r="E17" s="47">
        <f t="shared" si="1"/>
        <v>-249681</v>
      </c>
      <c r="F17" s="44">
        <v>44607</v>
      </c>
      <c r="G17" s="27"/>
      <c r="H17" s="25">
        <f t="shared" si="0"/>
        <v>0</v>
      </c>
    </row>
    <row r="18" spans="1:8" x14ac:dyDescent="0.3">
      <c r="A18" s="23"/>
      <c r="B18" s="27" t="s">
        <v>148</v>
      </c>
      <c r="C18" s="47"/>
      <c r="D18" s="47">
        <v>60000</v>
      </c>
      <c r="E18" s="47">
        <f t="shared" si="1"/>
        <v>-309681</v>
      </c>
      <c r="F18" s="44">
        <v>44608</v>
      </c>
      <c r="G18" s="27"/>
      <c r="H18" s="25">
        <f t="shared" si="0"/>
        <v>0</v>
      </c>
    </row>
    <row r="19" spans="1:8" x14ac:dyDescent="0.3">
      <c r="A19" s="23"/>
      <c r="B19" s="27"/>
      <c r="C19" s="47"/>
      <c r="D19" s="47"/>
      <c r="E19" s="47">
        <f t="shared" si="1"/>
        <v>-309681</v>
      </c>
      <c r="F19" s="44">
        <v>44609</v>
      </c>
      <c r="G19" s="27"/>
      <c r="H19" s="25">
        <f t="shared" si="0"/>
        <v>0</v>
      </c>
    </row>
    <row r="20" spans="1:8" x14ac:dyDescent="0.3">
      <c r="A20" s="23"/>
      <c r="B20" s="27"/>
      <c r="C20" s="47"/>
      <c r="D20" s="47"/>
      <c r="E20" s="47">
        <f t="shared" si="1"/>
        <v>-309681</v>
      </c>
      <c r="F20" s="44">
        <v>44610</v>
      </c>
      <c r="G20" s="27"/>
      <c r="H20" s="25">
        <f t="shared" si="0"/>
        <v>0</v>
      </c>
    </row>
    <row r="21" spans="1:8" x14ac:dyDescent="0.3">
      <c r="A21" s="23"/>
      <c r="B21" s="27"/>
      <c r="C21" s="47"/>
      <c r="D21" s="47"/>
      <c r="E21" s="47">
        <f t="shared" si="1"/>
        <v>-309681</v>
      </c>
      <c r="F21" s="44">
        <v>44611</v>
      </c>
      <c r="G21" s="27"/>
      <c r="H21" s="25">
        <f t="shared" si="0"/>
        <v>0</v>
      </c>
    </row>
    <row r="22" spans="1:8" x14ac:dyDescent="0.3">
      <c r="A22" s="23"/>
      <c r="B22" s="27"/>
      <c r="C22" s="47"/>
      <c r="D22" s="47"/>
      <c r="E22" s="47">
        <f t="shared" si="1"/>
        <v>-309681</v>
      </c>
      <c r="F22" s="44">
        <v>44612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-309681</v>
      </c>
      <c r="F23" s="44">
        <v>44613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-309681</v>
      </c>
      <c r="F24" s="44">
        <v>44614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-309681</v>
      </c>
      <c r="F25" s="44">
        <v>44615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-309681</v>
      </c>
      <c r="F26" s="44">
        <v>44616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-309681</v>
      </c>
      <c r="F27" s="44">
        <v>44617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-309681</v>
      </c>
      <c r="F28" s="44">
        <v>44618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-309681</v>
      </c>
      <c r="F29" s="44">
        <v>44619</v>
      </c>
      <c r="G29" s="27"/>
      <c r="H29" s="25">
        <f t="shared" si="0"/>
        <v>67620</v>
      </c>
    </row>
    <row r="30" spans="1:8" x14ac:dyDescent="0.3">
      <c r="A30" s="23"/>
      <c r="B30" s="27"/>
      <c r="C30" s="47"/>
      <c r="D30" s="47"/>
      <c r="E30" s="47">
        <f t="shared" si="1"/>
        <v>-309681</v>
      </c>
      <c r="F30" s="44">
        <v>44620</v>
      </c>
      <c r="G30" s="27">
        <v>67620</v>
      </c>
      <c r="H30" s="25">
        <f t="shared" si="0"/>
        <v>-67620</v>
      </c>
    </row>
    <row r="31" spans="1:8" x14ac:dyDescent="0.3">
      <c r="A31" s="23"/>
      <c r="B31" s="27"/>
      <c r="C31" s="47"/>
      <c r="D31" s="47"/>
      <c r="E31" s="47">
        <f t="shared" si="1"/>
        <v>-309681</v>
      </c>
      <c r="F31" s="44">
        <v>44621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-309681</v>
      </c>
      <c r="F32" s="44">
        <v>44622</v>
      </c>
      <c r="G32" s="27"/>
      <c r="H32" s="25">
        <f t="shared" si="0"/>
        <v>0</v>
      </c>
    </row>
    <row r="33" spans="1:8" x14ac:dyDescent="0.3">
      <c r="A33" s="92"/>
      <c r="B33" s="84"/>
      <c r="C33" s="68"/>
      <c r="D33" s="68"/>
      <c r="E33" s="68"/>
      <c r="F33" s="44">
        <v>44623</v>
      </c>
      <c r="G33" s="27"/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2030000</v>
      </c>
      <c r="D34" s="47">
        <f>SUM(D3:D33)</f>
        <v>2339681</v>
      </c>
      <c r="E34" s="47"/>
      <c r="G34" s="1" t="s">
        <v>6</v>
      </c>
      <c r="H34" s="28">
        <f>+G30-G3</f>
        <v>2860</v>
      </c>
    </row>
    <row r="35" spans="1:8" x14ac:dyDescent="0.3">
      <c r="A35" s="70"/>
      <c r="B35" s="1" t="s">
        <v>7</v>
      </c>
      <c r="C35" s="105">
        <f>C34-D34</f>
        <v>-309681</v>
      </c>
      <c r="D35" s="106"/>
      <c r="E35" s="47"/>
      <c r="G35" s="1" t="s">
        <v>24</v>
      </c>
      <c r="H35" s="28">
        <f>AVERAGEIF(H3:H32,"&gt;0",H3:H32)</f>
        <v>67620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545E-1E1D-482D-B409-46B03961F0E9}">
  <dimension ref="A1:K39"/>
  <sheetViews>
    <sheetView topLeftCell="A31" workbookViewId="0">
      <selection activeCell="D30" sqref="D30"/>
    </sheetView>
  </sheetViews>
  <sheetFormatPr baseColWidth="10" defaultRowHeight="14.4" x14ac:dyDescent="0.3"/>
  <cols>
    <col min="2" max="2" width="27.33203125" bestFit="1" customWidth="1"/>
  </cols>
  <sheetData>
    <row r="1" spans="1:11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11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11" x14ac:dyDescent="0.3">
      <c r="A3" s="23">
        <v>44621</v>
      </c>
      <c r="B3" s="24" t="s">
        <v>146</v>
      </c>
      <c r="C3" s="131"/>
      <c r="D3" s="120">
        <v>70000</v>
      </c>
      <c r="E3" s="47">
        <f>+C3-D3</f>
        <v>-70000</v>
      </c>
      <c r="F3" s="44">
        <v>44621</v>
      </c>
      <c r="G3" s="24">
        <v>67801</v>
      </c>
      <c r="H3" s="25">
        <f>+G4-G3</f>
        <v>-67801</v>
      </c>
    </row>
    <row r="4" spans="1:11" x14ac:dyDescent="0.3">
      <c r="A4" s="23">
        <v>44621</v>
      </c>
      <c r="B4" s="27" t="s">
        <v>147</v>
      </c>
      <c r="C4" s="89"/>
      <c r="D4" s="120">
        <v>14000</v>
      </c>
      <c r="E4" s="47">
        <f>E3+C4-D4</f>
        <v>-84000</v>
      </c>
      <c r="F4" s="44">
        <v>44622</v>
      </c>
      <c r="G4" s="27"/>
      <c r="H4" s="25">
        <f t="shared" ref="H4:H32" si="0">+G5-G4</f>
        <v>0</v>
      </c>
    </row>
    <row r="5" spans="1:11" x14ac:dyDescent="0.3">
      <c r="A5" s="23"/>
      <c r="B5" s="27"/>
      <c r="C5" s="89">
        <v>309000</v>
      </c>
      <c r="D5" s="89"/>
      <c r="E5" s="47">
        <f t="shared" ref="E5:E32" si="1">E4+C5-D5</f>
        <v>225000</v>
      </c>
      <c r="F5" s="44">
        <v>44623</v>
      </c>
      <c r="G5" s="27"/>
      <c r="H5" s="25">
        <f t="shared" si="0"/>
        <v>0</v>
      </c>
    </row>
    <row r="6" spans="1:11" x14ac:dyDescent="0.3">
      <c r="A6" s="23">
        <v>44621</v>
      </c>
      <c r="B6" s="27" t="s">
        <v>172</v>
      </c>
      <c r="C6" s="89"/>
      <c r="D6" s="89">
        <v>309681</v>
      </c>
      <c r="E6" s="47">
        <f t="shared" si="1"/>
        <v>-84681</v>
      </c>
      <c r="F6" s="44">
        <v>44624</v>
      </c>
      <c r="G6" s="27"/>
      <c r="H6" s="25">
        <f t="shared" si="0"/>
        <v>0</v>
      </c>
    </row>
    <row r="7" spans="1:11" x14ac:dyDescent="0.3">
      <c r="A7" s="23">
        <v>44626</v>
      </c>
      <c r="B7" s="27"/>
      <c r="C7" s="134">
        <v>230000</v>
      </c>
      <c r="D7" s="89"/>
      <c r="E7" s="47">
        <f t="shared" si="1"/>
        <v>145319</v>
      </c>
      <c r="F7" s="44">
        <v>44625</v>
      </c>
      <c r="G7" s="27"/>
      <c r="H7" s="25">
        <f t="shared" si="0"/>
        <v>0</v>
      </c>
    </row>
    <row r="8" spans="1:11" x14ac:dyDescent="0.3">
      <c r="A8" s="23">
        <v>44629</v>
      </c>
      <c r="B8" s="27" t="s">
        <v>162</v>
      </c>
      <c r="C8" s="89"/>
      <c r="D8" s="135">
        <v>130005</v>
      </c>
      <c r="E8" s="47">
        <f t="shared" si="1"/>
        <v>15314</v>
      </c>
      <c r="F8" s="44">
        <v>44626</v>
      </c>
      <c r="G8" s="29"/>
      <c r="H8" s="25">
        <f t="shared" si="0"/>
        <v>0</v>
      </c>
    </row>
    <row r="9" spans="1:11" x14ac:dyDescent="0.3">
      <c r="A9" s="23">
        <v>44629</v>
      </c>
      <c r="B9" s="27" t="s">
        <v>154</v>
      </c>
      <c r="C9" s="89"/>
      <c r="D9" s="135">
        <f>13300*2</f>
        <v>26600</v>
      </c>
      <c r="E9" s="47">
        <f t="shared" si="1"/>
        <v>-11286</v>
      </c>
      <c r="F9" s="44">
        <v>44627</v>
      </c>
      <c r="G9" s="27"/>
      <c r="H9" s="25">
        <f t="shared" si="0"/>
        <v>0</v>
      </c>
    </row>
    <row r="10" spans="1:11" x14ac:dyDescent="0.3">
      <c r="A10" s="23">
        <v>44623</v>
      </c>
      <c r="B10" s="27" t="s">
        <v>163</v>
      </c>
      <c r="C10" s="89"/>
      <c r="D10" s="135">
        <v>160716</v>
      </c>
      <c r="E10" s="47">
        <f t="shared" si="1"/>
        <v>-172002</v>
      </c>
      <c r="F10" s="44">
        <v>44628</v>
      </c>
      <c r="G10" s="29"/>
      <c r="H10" s="25">
        <f t="shared" si="0"/>
        <v>0</v>
      </c>
      <c r="J10" t="s">
        <v>165</v>
      </c>
      <c r="K10" t="s">
        <v>166</v>
      </c>
    </row>
    <row r="11" spans="1:11" x14ac:dyDescent="0.3">
      <c r="A11" s="23">
        <v>44631</v>
      </c>
      <c r="B11" s="27"/>
      <c r="C11" s="134">
        <v>300000</v>
      </c>
      <c r="D11" s="89"/>
      <c r="E11" s="47">
        <f t="shared" si="1"/>
        <v>127998</v>
      </c>
      <c r="F11" s="44">
        <v>44629</v>
      </c>
      <c r="G11" s="27"/>
      <c r="H11" s="25">
        <f t="shared" si="0"/>
        <v>0</v>
      </c>
      <c r="J11">
        <f>69547-69007</f>
        <v>540</v>
      </c>
      <c r="K11">
        <v>16.61</v>
      </c>
    </row>
    <row r="12" spans="1:11" x14ac:dyDescent="0.3">
      <c r="A12" s="23">
        <v>44631</v>
      </c>
      <c r="B12" s="27" t="s">
        <v>155</v>
      </c>
      <c r="C12" s="89"/>
      <c r="D12" s="135">
        <v>265000</v>
      </c>
      <c r="E12" s="47">
        <f t="shared" si="1"/>
        <v>-137002</v>
      </c>
      <c r="F12" s="44">
        <v>44630</v>
      </c>
      <c r="G12" s="27"/>
      <c r="H12" s="25">
        <f t="shared" si="0"/>
        <v>0</v>
      </c>
      <c r="J12" s="130">
        <f>+J11/K11</f>
        <v>32.5105358217941</v>
      </c>
    </row>
    <row r="13" spans="1:11" x14ac:dyDescent="0.3">
      <c r="A13" s="23">
        <v>44634</v>
      </c>
      <c r="B13" s="27"/>
      <c r="C13" s="134">
        <v>400000</v>
      </c>
      <c r="D13" s="89"/>
      <c r="E13" s="47">
        <f t="shared" si="1"/>
        <v>262998</v>
      </c>
      <c r="F13" s="44">
        <v>44631</v>
      </c>
      <c r="G13" s="27"/>
      <c r="H13" s="25">
        <f t="shared" si="0"/>
        <v>0</v>
      </c>
      <c r="J13" t="s">
        <v>167</v>
      </c>
      <c r="K13" t="s">
        <v>166</v>
      </c>
    </row>
    <row r="14" spans="1:11" x14ac:dyDescent="0.3">
      <c r="A14" s="23">
        <v>44635</v>
      </c>
      <c r="B14" s="27" t="s">
        <v>159</v>
      </c>
      <c r="C14" s="89"/>
      <c r="D14" s="135">
        <v>60000</v>
      </c>
      <c r="E14" s="47">
        <f t="shared" si="1"/>
        <v>202998</v>
      </c>
      <c r="F14" s="44">
        <v>44632</v>
      </c>
      <c r="G14" s="27"/>
      <c r="H14" s="25">
        <f t="shared" si="0"/>
        <v>0</v>
      </c>
      <c r="J14">
        <v>29.22</v>
      </c>
      <c r="K14">
        <v>16.61</v>
      </c>
    </row>
    <row r="15" spans="1:11" x14ac:dyDescent="0.3">
      <c r="A15" s="23">
        <v>44635</v>
      </c>
      <c r="B15" s="27" t="s">
        <v>156</v>
      </c>
      <c r="C15" s="89"/>
      <c r="D15" s="136">
        <v>500000</v>
      </c>
      <c r="E15" s="47">
        <f t="shared" si="1"/>
        <v>-297002</v>
      </c>
      <c r="F15" s="44">
        <v>44633</v>
      </c>
      <c r="G15" s="27"/>
      <c r="H15" s="25">
        <f t="shared" si="0"/>
        <v>0</v>
      </c>
      <c r="J15" s="130">
        <f>+J14/K14</f>
        <v>1.7591812161348586</v>
      </c>
    </row>
    <row r="16" spans="1:11" x14ac:dyDescent="0.3">
      <c r="A16" s="23">
        <v>44634</v>
      </c>
      <c r="B16" s="27" t="s">
        <v>157</v>
      </c>
      <c r="C16" s="136">
        <v>300000</v>
      </c>
      <c r="D16" s="89"/>
      <c r="E16" s="47">
        <f t="shared" si="1"/>
        <v>2998</v>
      </c>
      <c r="F16" s="44">
        <v>44634</v>
      </c>
      <c r="G16" s="27"/>
      <c r="H16" s="25">
        <f t="shared" si="0"/>
        <v>0</v>
      </c>
    </row>
    <row r="17" spans="1:8" x14ac:dyDescent="0.3">
      <c r="A17" s="23">
        <v>44634</v>
      </c>
      <c r="B17" s="27" t="s">
        <v>36</v>
      </c>
      <c r="C17" s="89"/>
      <c r="D17" s="135">
        <f>26000+26000+12000</f>
        <v>64000</v>
      </c>
      <c r="E17" s="47">
        <f t="shared" si="1"/>
        <v>-61002</v>
      </c>
      <c r="F17" s="44">
        <v>44635</v>
      </c>
      <c r="G17" s="27"/>
      <c r="H17" s="25">
        <f t="shared" si="0"/>
        <v>0</v>
      </c>
    </row>
    <row r="18" spans="1:8" x14ac:dyDescent="0.3">
      <c r="A18" s="23">
        <v>44635</v>
      </c>
      <c r="B18" s="27" t="s">
        <v>158</v>
      </c>
      <c r="C18" s="89"/>
      <c r="D18" s="135">
        <v>14500</v>
      </c>
      <c r="E18" s="47">
        <f t="shared" si="1"/>
        <v>-75502</v>
      </c>
      <c r="F18" s="44">
        <v>44636</v>
      </c>
      <c r="G18" s="27"/>
      <c r="H18" s="25">
        <f t="shared" si="0"/>
        <v>0</v>
      </c>
    </row>
    <row r="19" spans="1:8" x14ac:dyDescent="0.3">
      <c r="A19" s="23">
        <v>44636</v>
      </c>
      <c r="B19" s="27" t="s">
        <v>160</v>
      </c>
      <c r="C19" s="89"/>
      <c r="D19" s="135">
        <v>12000</v>
      </c>
      <c r="E19" s="47">
        <f t="shared" si="1"/>
        <v>-87502</v>
      </c>
      <c r="F19" s="44">
        <v>44637</v>
      </c>
      <c r="G19" s="27"/>
      <c r="H19" s="25">
        <f t="shared" si="0"/>
        <v>0</v>
      </c>
    </row>
    <row r="20" spans="1:8" x14ac:dyDescent="0.3">
      <c r="A20" s="129">
        <v>44636</v>
      </c>
      <c r="B20" s="27" t="s">
        <v>161</v>
      </c>
      <c r="C20" s="89"/>
      <c r="D20" s="135">
        <v>144932</v>
      </c>
      <c r="E20" s="47">
        <f t="shared" si="1"/>
        <v>-232434</v>
      </c>
      <c r="F20" s="44">
        <v>44638</v>
      </c>
      <c r="G20" s="27"/>
      <c r="H20" s="25">
        <f t="shared" si="0"/>
        <v>0</v>
      </c>
    </row>
    <row r="21" spans="1:8" x14ac:dyDescent="0.3">
      <c r="A21" s="23">
        <v>44642</v>
      </c>
      <c r="B21" s="27" t="s">
        <v>164</v>
      </c>
      <c r="C21" s="89"/>
      <c r="D21" s="135">
        <v>150006</v>
      </c>
      <c r="E21" s="47">
        <f t="shared" si="1"/>
        <v>-382440</v>
      </c>
      <c r="F21" s="44">
        <v>44639</v>
      </c>
      <c r="G21" s="27"/>
      <c r="H21" s="25">
        <f t="shared" si="0"/>
        <v>0</v>
      </c>
    </row>
    <row r="22" spans="1:8" x14ac:dyDescent="0.3">
      <c r="A22" s="23">
        <v>44642</v>
      </c>
      <c r="B22" s="27"/>
      <c r="C22" s="134">
        <v>160000</v>
      </c>
      <c r="D22" s="89"/>
      <c r="E22" s="47">
        <f t="shared" si="1"/>
        <v>-222440</v>
      </c>
      <c r="F22" s="44">
        <v>44640</v>
      </c>
      <c r="G22" s="27"/>
      <c r="H22" s="25">
        <f t="shared" si="0"/>
        <v>0</v>
      </c>
    </row>
    <row r="23" spans="1:8" x14ac:dyDescent="0.3">
      <c r="A23" s="23">
        <v>44644</v>
      </c>
      <c r="B23" s="27"/>
      <c r="C23" s="134">
        <v>180000</v>
      </c>
      <c r="D23" s="89"/>
      <c r="E23" s="47">
        <f t="shared" si="1"/>
        <v>-42440</v>
      </c>
      <c r="F23" s="44">
        <v>44641</v>
      </c>
      <c r="G23" s="27"/>
      <c r="H23" s="25">
        <f t="shared" si="0"/>
        <v>0</v>
      </c>
    </row>
    <row r="24" spans="1:8" x14ac:dyDescent="0.3">
      <c r="A24" s="23">
        <v>44646</v>
      </c>
      <c r="B24" s="27"/>
      <c r="C24" s="134">
        <v>650000</v>
      </c>
      <c r="D24" s="89"/>
      <c r="E24" s="47">
        <f t="shared" si="1"/>
        <v>607560</v>
      </c>
      <c r="F24" s="44">
        <v>44642</v>
      </c>
      <c r="G24" s="27"/>
      <c r="H24" s="25">
        <f t="shared" si="0"/>
        <v>0</v>
      </c>
    </row>
    <row r="25" spans="1:8" x14ac:dyDescent="0.3">
      <c r="A25" s="23">
        <v>44646</v>
      </c>
      <c r="B25" s="27" t="s">
        <v>168</v>
      </c>
      <c r="C25" s="89"/>
      <c r="D25" s="135">
        <v>645581</v>
      </c>
      <c r="E25" s="47">
        <f t="shared" si="1"/>
        <v>-38021</v>
      </c>
      <c r="F25" s="44">
        <v>44643</v>
      </c>
      <c r="G25" s="27"/>
      <c r="H25" s="25">
        <f t="shared" si="0"/>
        <v>0</v>
      </c>
    </row>
    <row r="26" spans="1:8" x14ac:dyDescent="0.3">
      <c r="A26" s="23">
        <v>44648</v>
      </c>
      <c r="B26" s="27" t="s">
        <v>158</v>
      </c>
      <c r="C26" s="89"/>
      <c r="D26" s="135">
        <v>14500</v>
      </c>
      <c r="E26" s="47">
        <f t="shared" si="1"/>
        <v>-52521</v>
      </c>
      <c r="F26" s="44">
        <v>44644</v>
      </c>
      <c r="G26" s="27"/>
      <c r="H26" s="25">
        <f t="shared" si="0"/>
        <v>0</v>
      </c>
    </row>
    <row r="27" spans="1:8" x14ac:dyDescent="0.3">
      <c r="A27" s="23">
        <v>44649</v>
      </c>
      <c r="B27" s="27" t="s">
        <v>169</v>
      </c>
      <c r="C27" s="89"/>
      <c r="D27" s="135">
        <v>60000</v>
      </c>
      <c r="E27" s="47">
        <f t="shared" si="1"/>
        <v>-112521</v>
      </c>
      <c r="F27" s="44">
        <v>44645</v>
      </c>
      <c r="G27" s="27"/>
      <c r="H27" s="25">
        <f t="shared" si="0"/>
        <v>0</v>
      </c>
    </row>
    <row r="28" spans="1:8" x14ac:dyDescent="0.3">
      <c r="A28" s="23">
        <v>44651</v>
      </c>
      <c r="B28" s="27" t="s">
        <v>170</v>
      </c>
      <c r="C28" s="89"/>
      <c r="D28" s="135">
        <v>137148</v>
      </c>
      <c r="E28" s="47">
        <f t="shared" si="1"/>
        <v>-249669</v>
      </c>
      <c r="F28" s="44">
        <v>44646</v>
      </c>
      <c r="G28" s="27"/>
      <c r="H28" s="25">
        <f t="shared" si="0"/>
        <v>0</v>
      </c>
    </row>
    <row r="29" spans="1:8" x14ac:dyDescent="0.3">
      <c r="A29" s="23">
        <v>44651</v>
      </c>
      <c r="B29" s="27" t="s">
        <v>171</v>
      </c>
      <c r="C29" s="89"/>
      <c r="D29" s="135">
        <f>14500*2</f>
        <v>29000</v>
      </c>
      <c r="E29" s="47">
        <f t="shared" si="1"/>
        <v>-278669</v>
      </c>
      <c r="F29" s="44">
        <v>44647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-278669</v>
      </c>
      <c r="F30" s="44">
        <v>44648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-278669</v>
      </c>
      <c r="F31" s="44">
        <v>44649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-278669</v>
      </c>
      <c r="F32" s="44">
        <v>44650</v>
      </c>
      <c r="G32" s="27"/>
      <c r="H32" s="25">
        <f t="shared" si="0"/>
        <v>70179</v>
      </c>
    </row>
    <row r="33" spans="1:8" x14ac:dyDescent="0.3">
      <c r="A33" s="92"/>
      <c r="B33" s="84"/>
      <c r="C33" s="68"/>
      <c r="D33" s="68"/>
      <c r="E33" s="68"/>
      <c r="F33" s="44">
        <v>44651</v>
      </c>
      <c r="G33" s="27">
        <v>70179</v>
      </c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2529000</v>
      </c>
      <c r="D34" s="47">
        <f>SUM(D3:D33)</f>
        <v>2807669</v>
      </c>
      <c r="E34" s="47"/>
      <c r="G34" s="1" t="s">
        <v>6</v>
      </c>
      <c r="H34" s="28">
        <f>+G33-G3</f>
        <v>2378</v>
      </c>
    </row>
    <row r="35" spans="1:8" x14ac:dyDescent="0.3">
      <c r="A35" s="70"/>
      <c r="B35" s="1" t="s">
        <v>7</v>
      </c>
      <c r="C35" s="105">
        <f>C34-D34</f>
        <v>-278669</v>
      </c>
      <c r="D35" s="106"/>
      <c r="E35" s="47"/>
      <c r="G35" s="1" t="s">
        <v>24</v>
      </c>
      <c r="H35" s="28">
        <f>AVERAGEIF(H3:H32,"&gt;0",H3:H32)</f>
        <v>70179</v>
      </c>
    </row>
    <row r="37" spans="1:8" x14ac:dyDescent="0.3">
      <c r="C37" s="133" t="s">
        <v>175</v>
      </c>
      <c r="D37" s="34"/>
      <c r="E37" s="34"/>
    </row>
    <row r="39" spans="1:8" x14ac:dyDescent="0.3">
      <c r="C39">
        <f>278669-70000</f>
        <v>208669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ECA8-2D78-402E-A510-4B2CE004AD22}">
  <dimension ref="A1:M35"/>
  <sheetViews>
    <sheetView tabSelected="1" workbookViewId="0">
      <selection activeCell="C14" sqref="C14"/>
    </sheetView>
  </sheetViews>
  <sheetFormatPr baseColWidth="10" defaultRowHeight="14.4" x14ac:dyDescent="0.3"/>
  <cols>
    <col min="2" max="2" width="41" bestFit="1" customWidth="1"/>
  </cols>
  <sheetData>
    <row r="1" spans="1:13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13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13" x14ac:dyDescent="0.3">
      <c r="A3" s="23">
        <v>44652</v>
      </c>
      <c r="B3" s="24" t="s">
        <v>173</v>
      </c>
      <c r="C3" s="131">
        <v>-208669</v>
      </c>
      <c r="D3" s="89">
        <v>0</v>
      </c>
      <c r="E3" s="47">
        <f>+C3-D3</f>
        <v>-208669</v>
      </c>
      <c r="F3" s="44">
        <v>44652</v>
      </c>
      <c r="G3" s="24"/>
      <c r="H3" s="25">
        <f>+G4-G3</f>
        <v>0</v>
      </c>
    </row>
    <row r="4" spans="1:13" x14ac:dyDescent="0.3">
      <c r="A4" s="23">
        <v>44653</v>
      </c>
      <c r="B4" s="69"/>
      <c r="C4" s="136">
        <v>150000</v>
      </c>
      <c r="D4" s="89"/>
      <c r="E4" s="47">
        <f>E3+C4-D4</f>
        <v>-58669</v>
      </c>
      <c r="F4" s="44">
        <v>44653</v>
      </c>
      <c r="G4" s="27"/>
      <c r="H4" s="25">
        <f t="shared" ref="H4:H32" si="0">+G5-G4</f>
        <v>0</v>
      </c>
    </row>
    <row r="5" spans="1:13" x14ac:dyDescent="0.3">
      <c r="A5" s="23">
        <v>44657</v>
      </c>
      <c r="B5" s="27" t="s">
        <v>174</v>
      </c>
      <c r="C5" s="89"/>
      <c r="D5" s="136">
        <v>126266</v>
      </c>
      <c r="E5" s="47">
        <f t="shared" ref="E5:E32" si="1">E4+C5-D5</f>
        <v>-184935</v>
      </c>
      <c r="F5" s="44">
        <v>44654</v>
      </c>
      <c r="G5" s="27"/>
      <c r="H5" s="25">
        <f t="shared" si="0"/>
        <v>0</v>
      </c>
    </row>
    <row r="6" spans="1:13" x14ac:dyDescent="0.3">
      <c r="A6" s="23">
        <v>44657</v>
      </c>
      <c r="B6" s="27" t="s">
        <v>176</v>
      </c>
      <c r="C6" s="136">
        <v>300000</v>
      </c>
      <c r="D6" s="89"/>
      <c r="E6" s="47">
        <f t="shared" si="1"/>
        <v>115065</v>
      </c>
      <c r="F6" s="44">
        <v>44655</v>
      </c>
      <c r="G6" s="27"/>
      <c r="H6" s="25">
        <f t="shared" si="0"/>
        <v>0</v>
      </c>
    </row>
    <row r="7" spans="1:13" x14ac:dyDescent="0.3">
      <c r="A7" s="23">
        <v>44658</v>
      </c>
      <c r="B7" s="27" t="s">
        <v>177</v>
      </c>
      <c r="C7" s="89"/>
      <c r="D7" s="89">
        <f>13300*2</f>
        <v>26600</v>
      </c>
      <c r="E7" s="47">
        <f t="shared" si="1"/>
        <v>88465</v>
      </c>
      <c r="F7" s="44">
        <v>44656</v>
      </c>
      <c r="G7" s="27"/>
      <c r="H7" s="25">
        <f t="shared" si="0"/>
        <v>0</v>
      </c>
    </row>
    <row r="8" spans="1:13" x14ac:dyDescent="0.3">
      <c r="A8" s="23">
        <v>44659</v>
      </c>
      <c r="B8" s="27" t="s">
        <v>178</v>
      </c>
      <c r="C8" s="89"/>
      <c r="D8" s="89">
        <f>13500*2</f>
        <v>27000</v>
      </c>
      <c r="E8" s="47">
        <f t="shared" si="1"/>
        <v>61465</v>
      </c>
      <c r="F8" s="44">
        <v>44657</v>
      </c>
      <c r="G8" s="29"/>
      <c r="H8" s="25">
        <f t="shared" si="0"/>
        <v>0</v>
      </c>
    </row>
    <row r="9" spans="1:13" x14ac:dyDescent="0.3">
      <c r="A9" s="23">
        <v>44659</v>
      </c>
      <c r="B9" s="27" t="s">
        <v>179</v>
      </c>
      <c r="C9" s="89"/>
      <c r="D9" s="89">
        <v>110000</v>
      </c>
      <c r="E9" s="47">
        <f t="shared" si="1"/>
        <v>-48535</v>
      </c>
      <c r="F9" s="44">
        <v>44658</v>
      </c>
      <c r="G9" s="27"/>
      <c r="H9" s="25">
        <f t="shared" si="0"/>
        <v>0</v>
      </c>
      <c r="K9">
        <v>35</v>
      </c>
      <c r="L9">
        <v>1</v>
      </c>
    </row>
    <row r="10" spans="1:13" x14ac:dyDescent="0.3">
      <c r="A10" s="23">
        <v>44671</v>
      </c>
      <c r="B10" s="27" t="s">
        <v>180</v>
      </c>
      <c r="C10" s="89"/>
      <c r="D10" s="136">
        <v>150258</v>
      </c>
      <c r="E10" s="47">
        <f t="shared" si="1"/>
        <v>-198793</v>
      </c>
      <c r="F10" s="44">
        <v>44659</v>
      </c>
      <c r="G10" s="29"/>
      <c r="H10" s="25">
        <f t="shared" si="0"/>
        <v>0</v>
      </c>
      <c r="K10">
        <v>421</v>
      </c>
      <c r="L10">
        <f>+K10*L9/K9</f>
        <v>12.028571428571428</v>
      </c>
    </row>
    <row r="11" spans="1:13" x14ac:dyDescent="0.3">
      <c r="A11" s="23">
        <v>44670</v>
      </c>
      <c r="B11" s="27"/>
      <c r="C11" s="136">
        <v>200000</v>
      </c>
      <c r="D11" s="89"/>
      <c r="E11" s="47">
        <f t="shared" si="1"/>
        <v>1207</v>
      </c>
      <c r="F11" s="44">
        <v>44660</v>
      </c>
      <c r="G11" s="27"/>
      <c r="H11" s="25">
        <f t="shared" si="0"/>
        <v>0</v>
      </c>
    </row>
    <row r="12" spans="1:13" x14ac:dyDescent="0.3">
      <c r="A12" s="23">
        <v>44675</v>
      </c>
      <c r="B12" s="27" t="s">
        <v>82</v>
      </c>
      <c r="C12" s="89">
        <v>50000</v>
      </c>
      <c r="D12" s="89"/>
      <c r="E12" s="47">
        <f t="shared" si="1"/>
        <v>51207</v>
      </c>
      <c r="F12" s="44">
        <v>44661</v>
      </c>
      <c r="G12" s="27"/>
      <c r="H12" s="25">
        <f t="shared" si="0"/>
        <v>0</v>
      </c>
    </row>
    <row r="13" spans="1:13" x14ac:dyDescent="0.3">
      <c r="A13" s="23">
        <v>44677</v>
      </c>
      <c r="B13" s="27"/>
      <c r="C13" s="89">
        <v>160000</v>
      </c>
      <c r="D13" s="89"/>
      <c r="E13" s="47">
        <f t="shared" si="1"/>
        <v>211207</v>
      </c>
      <c r="F13" s="44">
        <v>44662</v>
      </c>
      <c r="G13" s="27"/>
      <c r="H13" s="25">
        <f t="shared" si="0"/>
        <v>0</v>
      </c>
      <c r="L13">
        <v>1</v>
      </c>
      <c r="M13">
        <v>9030</v>
      </c>
    </row>
    <row r="14" spans="1:13" x14ac:dyDescent="0.3">
      <c r="A14" s="23"/>
      <c r="B14" s="27"/>
      <c r="C14" s="89"/>
      <c r="D14" s="89"/>
      <c r="E14" s="47">
        <f t="shared" si="1"/>
        <v>211207</v>
      </c>
      <c r="F14" s="44">
        <v>44663</v>
      </c>
      <c r="G14" s="27"/>
      <c r="H14" s="25">
        <f t="shared" si="0"/>
        <v>0</v>
      </c>
      <c r="L14">
        <v>12.028</v>
      </c>
      <c r="M14">
        <f>+L14*M13/L13</f>
        <v>108612.84000000001</v>
      </c>
    </row>
    <row r="15" spans="1:13" x14ac:dyDescent="0.3">
      <c r="A15" s="23"/>
      <c r="B15" s="27"/>
      <c r="C15" s="89"/>
      <c r="D15" s="89"/>
      <c r="E15" s="47">
        <f t="shared" si="1"/>
        <v>211207</v>
      </c>
      <c r="F15" s="44">
        <v>44664</v>
      </c>
      <c r="G15" s="27"/>
      <c r="H15" s="25">
        <f t="shared" si="0"/>
        <v>0</v>
      </c>
    </row>
    <row r="16" spans="1:13" x14ac:dyDescent="0.3">
      <c r="A16" s="23"/>
      <c r="B16" s="27"/>
      <c r="C16" s="89"/>
      <c r="D16" s="89"/>
      <c r="E16" s="47">
        <f t="shared" si="1"/>
        <v>211207</v>
      </c>
      <c r="F16" s="44">
        <v>44665</v>
      </c>
      <c r="G16" s="27"/>
      <c r="H16" s="25">
        <f t="shared" si="0"/>
        <v>0</v>
      </c>
    </row>
    <row r="17" spans="1:8" x14ac:dyDescent="0.3">
      <c r="A17" s="23"/>
      <c r="B17" s="27"/>
      <c r="C17" s="89"/>
      <c r="D17" s="89"/>
      <c r="E17" s="47">
        <f t="shared" si="1"/>
        <v>211207</v>
      </c>
      <c r="F17" s="44">
        <v>44666</v>
      </c>
      <c r="G17" s="27"/>
      <c r="H17" s="25">
        <f t="shared" si="0"/>
        <v>0</v>
      </c>
    </row>
    <row r="18" spans="1:8" x14ac:dyDescent="0.3">
      <c r="A18" s="23"/>
      <c r="B18" s="27"/>
      <c r="C18" s="89"/>
      <c r="D18" s="89"/>
      <c r="E18" s="47">
        <f t="shared" si="1"/>
        <v>211207</v>
      </c>
      <c r="F18" s="44">
        <v>44667</v>
      </c>
      <c r="G18" s="27"/>
      <c r="H18" s="25">
        <f t="shared" si="0"/>
        <v>0</v>
      </c>
    </row>
    <row r="19" spans="1:8" x14ac:dyDescent="0.3">
      <c r="A19" s="23"/>
      <c r="B19" s="27"/>
      <c r="C19" s="89"/>
      <c r="D19" s="89"/>
      <c r="E19" s="47">
        <f t="shared" si="1"/>
        <v>211207</v>
      </c>
      <c r="F19" s="44">
        <v>44668</v>
      </c>
      <c r="G19" s="27"/>
      <c r="H19" s="25">
        <f t="shared" si="0"/>
        <v>0</v>
      </c>
    </row>
    <row r="20" spans="1:8" x14ac:dyDescent="0.3">
      <c r="A20" s="129"/>
      <c r="B20" s="27"/>
      <c r="C20" s="89"/>
      <c r="D20" s="89"/>
      <c r="E20" s="47">
        <f t="shared" si="1"/>
        <v>211207</v>
      </c>
      <c r="F20" s="44">
        <v>44669</v>
      </c>
      <c r="G20" s="27"/>
      <c r="H20" s="25">
        <f t="shared" si="0"/>
        <v>0</v>
      </c>
    </row>
    <row r="21" spans="1:8" x14ac:dyDescent="0.3">
      <c r="A21" s="23"/>
      <c r="B21" s="27"/>
      <c r="C21" s="89"/>
      <c r="D21" s="89"/>
      <c r="E21" s="47">
        <f t="shared" si="1"/>
        <v>211207</v>
      </c>
      <c r="F21" s="44">
        <v>44670</v>
      </c>
      <c r="G21" s="27"/>
      <c r="H21" s="25">
        <f t="shared" si="0"/>
        <v>0</v>
      </c>
    </row>
    <row r="22" spans="1:8" x14ac:dyDescent="0.3">
      <c r="A22" s="23"/>
      <c r="B22" s="27"/>
      <c r="C22" s="89"/>
      <c r="D22" s="89"/>
      <c r="E22" s="47">
        <f t="shared" si="1"/>
        <v>211207</v>
      </c>
      <c r="F22" s="44">
        <v>44671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211207</v>
      </c>
      <c r="F23" s="44">
        <v>44672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211207</v>
      </c>
      <c r="F24" s="44">
        <v>44673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211207</v>
      </c>
      <c r="F25" s="44">
        <v>44674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211207</v>
      </c>
      <c r="F26" s="44">
        <v>44675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211207</v>
      </c>
      <c r="F27" s="44">
        <v>44676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211207</v>
      </c>
      <c r="F28" s="44">
        <v>44677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211207</v>
      </c>
      <c r="F29" s="44">
        <v>44678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211207</v>
      </c>
      <c r="F30" s="44">
        <v>44679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211207</v>
      </c>
      <c r="F31" s="44">
        <v>44680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211207</v>
      </c>
      <c r="F32" s="44">
        <v>44681</v>
      </c>
      <c r="G32" s="27"/>
      <c r="H32" s="25">
        <f t="shared" si="0"/>
        <v>0</v>
      </c>
    </row>
    <row r="33" spans="1:8" x14ac:dyDescent="0.3">
      <c r="A33" s="92"/>
      <c r="B33" s="84"/>
      <c r="C33" s="68"/>
      <c r="D33" s="68"/>
      <c r="E33" s="68"/>
      <c r="F33" s="44">
        <v>44682</v>
      </c>
      <c r="G33" s="27"/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651331</v>
      </c>
      <c r="D34" s="47">
        <f>SUM(D3:D33)</f>
        <v>440124</v>
      </c>
      <c r="E34" s="47"/>
      <c r="G34" s="1" t="s">
        <v>6</v>
      </c>
      <c r="H34" s="28">
        <f>SUMIFS(H3:H33,H3:H33,"&gt;=0")</f>
        <v>0</v>
      </c>
    </row>
    <row r="35" spans="1:8" x14ac:dyDescent="0.3">
      <c r="A35" s="70"/>
      <c r="B35" s="1" t="s">
        <v>7</v>
      </c>
      <c r="C35" s="105">
        <f>C34-D34</f>
        <v>211207</v>
      </c>
      <c r="D35" s="106"/>
      <c r="E35" s="47"/>
      <c r="G35" s="1" t="s">
        <v>24</v>
      </c>
      <c r="H35" s="28" t="e">
        <f>AVERAGEIF(H3:H32,"&gt;0",H3:H32)</f>
        <v>#DIV/0!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AF6C-F02B-4088-90F9-CEFF3A4076AF}">
  <dimension ref="A1:H35"/>
  <sheetViews>
    <sheetView workbookViewId="0">
      <selection activeCell="D34" sqref="D34"/>
    </sheetView>
  </sheetViews>
  <sheetFormatPr baseColWidth="10" defaultRowHeight="14.4" x14ac:dyDescent="0.3"/>
  <cols>
    <col min="2" max="2" width="40.88671875" customWidth="1"/>
  </cols>
  <sheetData>
    <row r="1" spans="1:8" ht="15" thickBot="1" x14ac:dyDescent="0.35">
      <c r="A1" s="142" t="s">
        <v>0</v>
      </c>
      <c r="B1" s="142"/>
      <c r="C1" s="142"/>
      <c r="D1" s="143"/>
      <c r="E1" s="143"/>
      <c r="F1" s="142"/>
      <c r="G1" s="142"/>
      <c r="H1" s="142"/>
    </row>
    <row r="2" spans="1:8" ht="15" thickBot="1" x14ac:dyDescent="0.35">
      <c r="A2" s="13" t="s">
        <v>1</v>
      </c>
      <c r="B2" s="14" t="s">
        <v>2</v>
      </c>
      <c r="C2" s="14" t="s">
        <v>3</v>
      </c>
      <c r="D2" s="45" t="s">
        <v>4</v>
      </c>
      <c r="E2" s="45" t="s">
        <v>7</v>
      </c>
      <c r="F2" s="43" t="s">
        <v>95</v>
      </c>
      <c r="G2" s="14" t="s">
        <v>5</v>
      </c>
      <c r="H2" s="15" t="s">
        <v>6</v>
      </c>
    </row>
    <row r="3" spans="1:8" x14ac:dyDescent="0.3">
      <c r="A3" s="129"/>
      <c r="B3" s="137"/>
      <c r="C3" s="131"/>
      <c r="D3" s="89"/>
      <c r="E3" s="47">
        <f>+C3-D3</f>
        <v>0</v>
      </c>
      <c r="F3" s="44">
        <v>44682</v>
      </c>
      <c r="G3" s="24"/>
      <c r="H3" s="25">
        <f>+G4-G3</f>
        <v>0</v>
      </c>
    </row>
    <row r="4" spans="1:8" x14ac:dyDescent="0.3">
      <c r="A4" s="129"/>
      <c r="B4" s="138"/>
      <c r="C4" s="89"/>
      <c r="D4" s="89"/>
      <c r="E4" s="47">
        <f>E3+C4-D4</f>
        <v>0</v>
      </c>
      <c r="F4" s="44">
        <v>44683</v>
      </c>
      <c r="G4" s="27"/>
      <c r="H4" s="25">
        <f t="shared" ref="H4:H32" si="0">+G5-G4</f>
        <v>0</v>
      </c>
    </row>
    <row r="5" spans="1:8" x14ac:dyDescent="0.3">
      <c r="A5" s="129"/>
      <c r="B5" s="71"/>
      <c r="C5" s="89"/>
      <c r="D5" s="89"/>
      <c r="E5" s="47">
        <f t="shared" ref="E5:E32" si="1">E4+C5-D5</f>
        <v>0</v>
      </c>
      <c r="F5" s="44">
        <v>44684</v>
      </c>
      <c r="G5" s="27"/>
      <c r="H5" s="25">
        <f t="shared" si="0"/>
        <v>0</v>
      </c>
    </row>
    <row r="6" spans="1:8" x14ac:dyDescent="0.3">
      <c r="A6" s="129"/>
      <c r="B6" s="71"/>
      <c r="C6" s="89"/>
      <c r="D6" s="89"/>
      <c r="E6" s="47">
        <f t="shared" si="1"/>
        <v>0</v>
      </c>
      <c r="F6" s="44">
        <v>44685</v>
      </c>
      <c r="G6" s="27"/>
      <c r="H6" s="25">
        <f t="shared" si="0"/>
        <v>0</v>
      </c>
    </row>
    <row r="7" spans="1:8" x14ac:dyDescent="0.3">
      <c r="A7" s="129"/>
      <c r="B7" s="71"/>
      <c r="C7" s="89"/>
      <c r="D7" s="89"/>
      <c r="E7" s="47">
        <f t="shared" si="1"/>
        <v>0</v>
      </c>
      <c r="F7" s="44">
        <v>44686</v>
      </c>
      <c r="G7" s="27"/>
      <c r="H7" s="25">
        <f t="shared" si="0"/>
        <v>0</v>
      </c>
    </row>
    <row r="8" spans="1:8" x14ac:dyDescent="0.3">
      <c r="A8" s="129"/>
      <c r="B8" s="71"/>
      <c r="C8" s="89"/>
      <c r="D8" s="89"/>
      <c r="E8" s="47">
        <f t="shared" si="1"/>
        <v>0</v>
      </c>
      <c r="F8" s="44">
        <v>44687</v>
      </c>
      <c r="G8" s="29"/>
      <c r="H8" s="25">
        <f t="shared" si="0"/>
        <v>0</v>
      </c>
    </row>
    <row r="9" spans="1:8" x14ac:dyDescent="0.3">
      <c r="A9" s="129"/>
      <c r="B9" s="71"/>
      <c r="C9" s="89"/>
      <c r="D9" s="89"/>
      <c r="E9" s="47">
        <f t="shared" si="1"/>
        <v>0</v>
      </c>
      <c r="F9" s="44">
        <v>44688</v>
      </c>
      <c r="G9" s="27"/>
      <c r="H9" s="25">
        <f t="shared" si="0"/>
        <v>0</v>
      </c>
    </row>
    <row r="10" spans="1:8" x14ac:dyDescent="0.3">
      <c r="A10" s="129"/>
      <c r="B10" s="71"/>
      <c r="C10" s="89"/>
      <c r="D10" s="89"/>
      <c r="E10" s="47">
        <f t="shared" si="1"/>
        <v>0</v>
      </c>
      <c r="F10" s="44">
        <v>44689</v>
      </c>
      <c r="G10" s="29"/>
      <c r="H10" s="25">
        <f t="shared" si="0"/>
        <v>0</v>
      </c>
    </row>
    <row r="11" spans="1:8" x14ac:dyDescent="0.3">
      <c r="A11" s="129"/>
      <c r="B11" s="71"/>
      <c r="C11" s="89"/>
      <c r="D11" s="89"/>
      <c r="E11" s="47">
        <f t="shared" si="1"/>
        <v>0</v>
      </c>
      <c r="F11" s="44">
        <v>44690</v>
      </c>
      <c r="G11" s="27"/>
      <c r="H11" s="25">
        <f t="shared" si="0"/>
        <v>0</v>
      </c>
    </row>
    <row r="12" spans="1:8" x14ac:dyDescent="0.3">
      <c r="A12" s="23"/>
      <c r="B12" s="27"/>
      <c r="C12" s="89"/>
      <c r="D12" s="89"/>
      <c r="E12" s="47">
        <f t="shared" si="1"/>
        <v>0</v>
      </c>
      <c r="F12" s="44">
        <v>44691</v>
      </c>
      <c r="G12" s="27"/>
      <c r="H12" s="25">
        <f t="shared" si="0"/>
        <v>0</v>
      </c>
    </row>
    <row r="13" spans="1:8" x14ac:dyDescent="0.3">
      <c r="A13" s="23"/>
      <c r="B13" s="27"/>
      <c r="C13" s="89"/>
      <c r="D13" s="89"/>
      <c r="E13" s="47">
        <f t="shared" si="1"/>
        <v>0</v>
      </c>
      <c r="F13" s="44">
        <v>44692</v>
      </c>
      <c r="G13" s="27"/>
      <c r="H13" s="25">
        <f t="shared" si="0"/>
        <v>0</v>
      </c>
    </row>
    <row r="14" spans="1:8" x14ac:dyDescent="0.3">
      <c r="A14" s="23"/>
      <c r="B14" s="27"/>
      <c r="C14" s="89"/>
      <c r="D14" s="89"/>
      <c r="E14" s="47">
        <f t="shared" si="1"/>
        <v>0</v>
      </c>
      <c r="F14" s="44">
        <v>44693</v>
      </c>
      <c r="G14" s="27"/>
      <c r="H14" s="25">
        <f t="shared" si="0"/>
        <v>0</v>
      </c>
    </row>
    <row r="15" spans="1:8" x14ac:dyDescent="0.3">
      <c r="A15" s="23"/>
      <c r="B15" s="27"/>
      <c r="C15" s="89"/>
      <c r="D15" s="89"/>
      <c r="E15" s="47">
        <f t="shared" si="1"/>
        <v>0</v>
      </c>
      <c r="F15" s="44">
        <v>44694</v>
      </c>
      <c r="G15" s="27"/>
      <c r="H15" s="25">
        <f t="shared" si="0"/>
        <v>0</v>
      </c>
    </row>
    <row r="16" spans="1:8" x14ac:dyDescent="0.3">
      <c r="A16" s="23"/>
      <c r="B16" s="27"/>
      <c r="C16" s="89"/>
      <c r="D16" s="89"/>
      <c r="E16" s="47">
        <f t="shared" si="1"/>
        <v>0</v>
      </c>
      <c r="F16" s="44">
        <v>44695</v>
      </c>
      <c r="G16" s="27"/>
      <c r="H16" s="25">
        <f t="shared" si="0"/>
        <v>0</v>
      </c>
    </row>
    <row r="17" spans="1:8" x14ac:dyDescent="0.3">
      <c r="A17" s="23"/>
      <c r="B17" s="27"/>
      <c r="C17" s="89"/>
      <c r="D17" s="89"/>
      <c r="E17" s="47">
        <f t="shared" si="1"/>
        <v>0</v>
      </c>
      <c r="F17" s="44">
        <v>44696</v>
      </c>
      <c r="G17" s="27"/>
      <c r="H17" s="25">
        <f t="shared" si="0"/>
        <v>0</v>
      </c>
    </row>
    <row r="18" spans="1:8" x14ac:dyDescent="0.3">
      <c r="A18" s="23"/>
      <c r="B18" s="27"/>
      <c r="C18" s="89"/>
      <c r="D18" s="89"/>
      <c r="E18" s="47">
        <f t="shared" si="1"/>
        <v>0</v>
      </c>
      <c r="F18" s="44">
        <v>44697</v>
      </c>
      <c r="G18" s="27"/>
      <c r="H18" s="25">
        <f t="shared" si="0"/>
        <v>0</v>
      </c>
    </row>
    <row r="19" spans="1:8" x14ac:dyDescent="0.3">
      <c r="A19" s="23"/>
      <c r="B19" s="27"/>
      <c r="C19" s="89"/>
      <c r="D19" s="89"/>
      <c r="E19" s="47">
        <f t="shared" si="1"/>
        <v>0</v>
      </c>
      <c r="F19" s="44">
        <v>44698</v>
      </c>
      <c r="G19" s="27"/>
      <c r="H19" s="25">
        <f t="shared" si="0"/>
        <v>0</v>
      </c>
    </row>
    <row r="20" spans="1:8" x14ac:dyDescent="0.3">
      <c r="A20" s="129"/>
      <c r="B20" s="27"/>
      <c r="C20" s="89"/>
      <c r="D20" s="89"/>
      <c r="E20" s="47">
        <f t="shared" si="1"/>
        <v>0</v>
      </c>
      <c r="F20" s="44">
        <v>44699</v>
      </c>
      <c r="G20" s="27"/>
      <c r="H20" s="25">
        <f t="shared" si="0"/>
        <v>0</v>
      </c>
    </row>
    <row r="21" spans="1:8" x14ac:dyDescent="0.3">
      <c r="A21" s="23"/>
      <c r="B21" s="27"/>
      <c r="C21" s="89"/>
      <c r="D21" s="89"/>
      <c r="E21" s="47">
        <f t="shared" si="1"/>
        <v>0</v>
      </c>
      <c r="F21" s="44">
        <v>44700</v>
      </c>
      <c r="G21" s="27"/>
      <c r="H21" s="25">
        <f t="shared" si="0"/>
        <v>0</v>
      </c>
    </row>
    <row r="22" spans="1:8" x14ac:dyDescent="0.3">
      <c r="A22" s="23"/>
      <c r="B22" s="27"/>
      <c r="C22" s="89"/>
      <c r="D22" s="89"/>
      <c r="E22" s="47">
        <f t="shared" si="1"/>
        <v>0</v>
      </c>
      <c r="F22" s="44">
        <v>44701</v>
      </c>
      <c r="G22" s="27"/>
      <c r="H22" s="25">
        <f t="shared" si="0"/>
        <v>0</v>
      </c>
    </row>
    <row r="23" spans="1:8" x14ac:dyDescent="0.3">
      <c r="A23" s="23"/>
      <c r="B23" s="27"/>
      <c r="C23" s="47"/>
      <c r="D23" s="47"/>
      <c r="E23" s="47">
        <f t="shared" si="1"/>
        <v>0</v>
      </c>
      <c r="F23" s="44">
        <v>44702</v>
      </c>
      <c r="G23" s="27"/>
      <c r="H23" s="25">
        <f t="shared" si="0"/>
        <v>0</v>
      </c>
    </row>
    <row r="24" spans="1:8" x14ac:dyDescent="0.3">
      <c r="A24" s="23"/>
      <c r="B24" s="27"/>
      <c r="C24" s="47"/>
      <c r="D24" s="47"/>
      <c r="E24" s="47">
        <f t="shared" si="1"/>
        <v>0</v>
      </c>
      <c r="F24" s="44">
        <v>44703</v>
      </c>
      <c r="G24" s="27"/>
      <c r="H24" s="25">
        <f t="shared" si="0"/>
        <v>0</v>
      </c>
    </row>
    <row r="25" spans="1:8" x14ac:dyDescent="0.3">
      <c r="A25" s="23"/>
      <c r="B25" s="27"/>
      <c r="C25" s="47"/>
      <c r="D25" s="47"/>
      <c r="E25" s="47">
        <f t="shared" si="1"/>
        <v>0</v>
      </c>
      <c r="F25" s="44">
        <v>44704</v>
      </c>
      <c r="G25" s="27"/>
      <c r="H25" s="25">
        <f t="shared" si="0"/>
        <v>0</v>
      </c>
    </row>
    <row r="26" spans="1:8" x14ac:dyDescent="0.3">
      <c r="A26" s="23"/>
      <c r="B26" s="27"/>
      <c r="C26" s="47"/>
      <c r="D26" s="47"/>
      <c r="E26" s="47">
        <f t="shared" si="1"/>
        <v>0</v>
      </c>
      <c r="F26" s="44">
        <v>44705</v>
      </c>
      <c r="G26" s="27"/>
      <c r="H26" s="25">
        <f t="shared" si="0"/>
        <v>0</v>
      </c>
    </row>
    <row r="27" spans="1:8" x14ac:dyDescent="0.3">
      <c r="A27" s="23"/>
      <c r="B27" s="27"/>
      <c r="C27" s="47"/>
      <c r="D27" s="47"/>
      <c r="E27" s="47">
        <f t="shared" si="1"/>
        <v>0</v>
      </c>
      <c r="F27" s="44">
        <v>44706</v>
      </c>
      <c r="G27" s="27"/>
      <c r="H27" s="25">
        <f t="shared" si="0"/>
        <v>0</v>
      </c>
    </row>
    <row r="28" spans="1:8" x14ac:dyDescent="0.3">
      <c r="A28" s="23"/>
      <c r="B28" s="27"/>
      <c r="C28" s="47"/>
      <c r="D28" s="47"/>
      <c r="E28" s="47">
        <f t="shared" si="1"/>
        <v>0</v>
      </c>
      <c r="F28" s="44">
        <v>44707</v>
      </c>
      <c r="G28" s="27"/>
      <c r="H28" s="25">
        <f t="shared" si="0"/>
        <v>0</v>
      </c>
    </row>
    <row r="29" spans="1:8" x14ac:dyDescent="0.3">
      <c r="A29" s="23"/>
      <c r="B29" s="27"/>
      <c r="C29" s="47"/>
      <c r="D29" s="47"/>
      <c r="E29" s="47">
        <f t="shared" si="1"/>
        <v>0</v>
      </c>
      <c r="F29" s="44">
        <v>44708</v>
      </c>
      <c r="G29" s="27"/>
      <c r="H29" s="25">
        <f t="shared" si="0"/>
        <v>0</v>
      </c>
    </row>
    <row r="30" spans="1:8" x14ac:dyDescent="0.3">
      <c r="A30" s="23"/>
      <c r="B30" s="27"/>
      <c r="C30" s="47"/>
      <c r="D30" s="47"/>
      <c r="E30" s="47">
        <f t="shared" si="1"/>
        <v>0</v>
      </c>
      <c r="F30" s="44">
        <v>44709</v>
      </c>
      <c r="G30" s="27"/>
      <c r="H30" s="25">
        <f t="shared" si="0"/>
        <v>0</v>
      </c>
    </row>
    <row r="31" spans="1:8" x14ac:dyDescent="0.3">
      <c r="A31" s="23"/>
      <c r="B31" s="27"/>
      <c r="C31" s="47"/>
      <c r="D31" s="47"/>
      <c r="E31" s="47">
        <f t="shared" si="1"/>
        <v>0</v>
      </c>
      <c r="F31" s="44">
        <v>44710</v>
      </c>
      <c r="G31" s="27"/>
      <c r="H31" s="25">
        <f t="shared" si="0"/>
        <v>0</v>
      </c>
    </row>
    <row r="32" spans="1:8" x14ac:dyDescent="0.3">
      <c r="A32" s="66"/>
      <c r="B32" s="84"/>
      <c r="C32" s="68"/>
      <c r="D32" s="68"/>
      <c r="E32" s="68">
        <f t="shared" si="1"/>
        <v>0</v>
      </c>
      <c r="F32" s="44">
        <v>44711</v>
      </c>
      <c r="G32" s="27"/>
      <c r="H32" s="25">
        <f t="shared" si="0"/>
        <v>0</v>
      </c>
    </row>
    <row r="33" spans="1:8" x14ac:dyDescent="0.3">
      <c r="A33" s="92"/>
      <c r="B33" s="84"/>
      <c r="C33" s="68"/>
      <c r="D33" s="68"/>
      <c r="E33" s="68"/>
      <c r="F33" s="44">
        <v>44712</v>
      </c>
      <c r="G33" s="27"/>
      <c r="H33" s="25" t="e">
        <f>+#REF!-G33</f>
        <v>#REF!</v>
      </c>
    </row>
    <row r="34" spans="1:8" x14ac:dyDescent="0.3">
      <c r="A34" s="70"/>
      <c r="B34" s="27" t="s">
        <v>14</v>
      </c>
      <c r="C34" s="47">
        <f>SUM(C3:C33)</f>
        <v>0</v>
      </c>
      <c r="D34" s="47">
        <f>SUM(D3:D33)</f>
        <v>0</v>
      </c>
      <c r="E34" s="47"/>
      <c r="G34" s="1" t="s">
        <v>6</v>
      </c>
      <c r="H34" s="28">
        <f>SUMIFS(H3:H33,H3:H33,"&gt;=0")</f>
        <v>0</v>
      </c>
    </row>
    <row r="35" spans="1:8" x14ac:dyDescent="0.3">
      <c r="A35" s="70"/>
      <c r="B35" s="1" t="s">
        <v>7</v>
      </c>
      <c r="C35" s="105">
        <f>C34-D34</f>
        <v>0</v>
      </c>
      <c r="D35" s="106"/>
      <c r="E35" s="47"/>
      <c r="G35" s="1" t="s">
        <v>24</v>
      </c>
      <c r="H35" s="28" t="e">
        <f>AVERAGEIF(H3:H32,"&gt;0",H3:H32)</f>
        <v>#DIV/0!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N20" sqref="N20"/>
    </sheetView>
  </sheetViews>
  <sheetFormatPr baseColWidth="10" defaultRowHeight="14.4" x14ac:dyDescent="0.3"/>
  <cols>
    <col min="2" max="2" width="12.33203125" bestFit="1" customWidth="1"/>
    <col min="3" max="3" width="10.109375" customWidth="1"/>
    <col min="14" max="14" width="12.109375" bestFit="1" customWidth="1"/>
  </cols>
  <sheetData>
    <row r="1" spans="1:18" x14ac:dyDescent="0.3">
      <c r="A1" t="s">
        <v>16</v>
      </c>
    </row>
    <row r="2" spans="1:18" ht="28.8" x14ac:dyDescent="0.3">
      <c r="A2" s="1"/>
      <c r="B2" s="37" t="s">
        <v>18</v>
      </c>
      <c r="C2" s="38" t="s">
        <v>17</v>
      </c>
      <c r="D2" s="42" t="s">
        <v>19</v>
      </c>
      <c r="E2" s="61">
        <f>SUM(B3:B18)</f>
        <v>2304364</v>
      </c>
      <c r="F2" s="50" t="s">
        <v>29</v>
      </c>
      <c r="G2" s="78">
        <f>+AVERAGEIF(C3:C18,"&gt;0",C3:C18)</f>
        <v>93.970723205366056</v>
      </c>
      <c r="I2" s="1"/>
      <c r="J2" s="37" t="s">
        <v>31</v>
      </c>
      <c r="K2" s="37" t="s">
        <v>32</v>
      </c>
      <c r="L2" s="37" t="s">
        <v>7</v>
      </c>
      <c r="M2" s="42" t="s">
        <v>33</v>
      </c>
      <c r="N2" s="61">
        <f>SUM(J3:J50)</f>
        <v>23939950</v>
      </c>
      <c r="O2" s="50" t="s">
        <v>34</v>
      </c>
      <c r="P2" s="62">
        <f>SUM(K3:K50)</f>
        <v>25022365</v>
      </c>
      <c r="Q2" s="63" t="s">
        <v>7</v>
      </c>
      <c r="R2" s="64">
        <f>+N2-P2</f>
        <v>-1082415</v>
      </c>
    </row>
    <row r="3" spans="1:18" x14ac:dyDescent="0.3">
      <c r="A3" s="39">
        <v>44075</v>
      </c>
      <c r="B3" s="40">
        <f>'SEP-20'!H33</f>
        <v>3273</v>
      </c>
      <c r="C3" s="41">
        <f>'SEP-20'!H34</f>
        <v>121.22222222222223</v>
      </c>
      <c r="I3" s="39">
        <v>44075</v>
      </c>
      <c r="J3" s="54">
        <f>'SEP-20'!C33</f>
        <v>1030000</v>
      </c>
      <c r="K3" s="54">
        <f>'SEP-20'!D33</f>
        <v>1069380</v>
      </c>
      <c r="L3" s="54">
        <f>J3-K3</f>
        <v>-39380</v>
      </c>
    </row>
    <row r="4" spans="1:18" x14ac:dyDescent="0.3">
      <c r="A4" s="39">
        <v>44105</v>
      </c>
      <c r="B4" s="40">
        <f>'OCT-20'!H34</f>
        <v>3917</v>
      </c>
      <c r="C4" s="41">
        <f>'OCT-20'!H35</f>
        <v>139.89285714285714</v>
      </c>
      <c r="I4" s="39">
        <v>44105</v>
      </c>
      <c r="J4" s="54">
        <f>'OCT-20'!C39</f>
        <v>1885000</v>
      </c>
      <c r="K4" s="54">
        <f>'OCT-20'!D39</f>
        <v>1897754</v>
      </c>
      <c r="L4" s="54">
        <f t="shared" ref="L4:L30" si="0">J4-K4</f>
        <v>-12754</v>
      </c>
    </row>
    <row r="5" spans="1:18" x14ac:dyDescent="0.3">
      <c r="A5" s="39">
        <v>44136</v>
      </c>
      <c r="B5" s="40">
        <f>'NOV-20'!H34</f>
        <v>2540</v>
      </c>
      <c r="C5" s="41">
        <f>'NOV-20'!H35</f>
        <v>90.714285714285708</v>
      </c>
      <c r="I5" s="39">
        <v>44136</v>
      </c>
      <c r="J5" s="54">
        <f>'NOV-20'!C33</f>
        <v>1050000</v>
      </c>
      <c r="K5" s="54">
        <f>'NOV-20'!D33</f>
        <v>1185100</v>
      </c>
      <c r="L5" s="54">
        <f t="shared" si="0"/>
        <v>-135100</v>
      </c>
    </row>
    <row r="6" spans="1:18" x14ac:dyDescent="0.3">
      <c r="A6" s="39">
        <v>44166</v>
      </c>
      <c r="B6" s="40">
        <f>'DIC-20'!H35</f>
        <v>2978</v>
      </c>
      <c r="C6" s="41">
        <f>'DIC-20'!H36</f>
        <v>106.35714285714286</v>
      </c>
      <c r="I6" s="39">
        <v>44166</v>
      </c>
      <c r="J6" s="54">
        <f>'DIC-20'!C38</f>
        <v>2136000</v>
      </c>
      <c r="K6" s="54">
        <f>'DIC-20'!D38</f>
        <v>1948524</v>
      </c>
      <c r="L6" s="54">
        <f t="shared" si="0"/>
        <v>187476</v>
      </c>
    </row>
    <row r="7" spans="1:18" x14ac:dyDescent="0.3">
      <c r="A7" s="39">
        <v>44197</v>
      </c>
      <c r="B7" s="40">
        <f>'ENE-21'!H34</f>
        <v>2162</v>
      </c>
      <c r="C7" s="41">
        <f>'ENE-21'!H35</f>
        <v>87.708333333333329</v>
      </c>
      <c r="I7" s="39">
        <v>44197</v>
      </c>
      <c r="J7" s="54">
        <f>'ENE-21'!C33</f>
        <v>1550000</v>
      </c>
      <c r="K7" s="54">
        <f>'ENE-21'!D33</f>
        <v>1509381</v>
      </c>
      <c r="L7" s="54">
        <f t="shared" si="0"/>
        <v>40619</v>
      </c>
    </row>
    <row r="8" spans="1:18" x14ac:dyDescent="0.3">
      <c r="A8" s="39">
        <v>44228</v>
      </c>
      <c r="B8" s="40">
        <f>'FEB-21'!H46</f>
        <v>3267</v>
      </c>
      <c r="C8" s="41">
        <f>'FEB-21'!H47</f>
        <v>130.68</v>
      </c>
      <c r="I8" s="39">
        <v>44228</v>
      </c>
      <c r="J8" s="54">
        <f>'FEB-21'!C55</f>
        <v>2240619</v>
      </c>
      <c r="K8" s="54">
        <f>'FEB-21'!D55</f>
        <v>2119698</v>
      </c>
      <c r="L8" s="54">
        <f t="shared" si="0"/>
        <v>120921</v>
      </c>
    </row>
    <row r="9" spans="1:18" x14ac:dyDescent="0.3">
      <c r="A9" s="39">
        <v>44256</v>
      </c>
      <c r="B9" s="40">
        <f>'MAR-21'!H34</f>
        <v>2393</v>
      </c>
      <c r="C9" s="41">
        <f>'MAR-21'!H35</f>
        <v>97.25</v>
      </c>
      <c r="I9" s="39">
        <v>44256</v>
      </c>
      <c r="J9" s="54">
        <f>'MAR-21'!C34</f>
        <v>730000</v>
      </c>
      <c r="K9" s="54">
        <f>'MAR-21'!D34</f>
        <v>771726</v>
      </c>
      <c r="L9" s="54">
        <f t="shared" si="0"/>
        <v>-41726</v>
      </c>
    </row>
    <row r="10" spans="1:18" x14ac:dyDescent="0.3">
      <c r="A10" s="39">
        <v>44287</v>
      </c>
      <c r="B10" s="40">
        <f>'ABR-21'!H34</f>
        <v>1508</v>
      </c>
      <c r="C10" s="41">
        <f>'ABR-21'!H35</f>
        <v>68.545454545454547</v>
      </c>
      <c r="I10" s="39">
        <v>44287</v>
      </c>
      <c r="J10" s="54">
        <f>'ABR-21'!C34</f>
        <v>720000</v>
      </c>
      <c r="K10" s="54">
        <f>'ABR-21'!D34</f>
        <v>679037</v>
      </c>
      <c r="L10" s="54">
        <f>J10-K10</f>
        <v>40963</v>
      </c>
    </row>
    <row r="11" spans="1:18" x14ac:dyDescent="0.3">
      <c r="A11" s="39">
        <v>44317</v>
      </c>
      <c r="B11" s="40">
        <f>'MAY-21'!H35</f>
        <v>2123</v>
      </c>
      <c r="C11" s="41">
        <f>'MAY-21'!H36</f>
        <v>83.6</v>
      </c>
      <c r="I11" s="39">
        <v>44317</v>
      </c>
      <c r="J11" s="54">
        <f>'MAY-21'!C35</f>
        <v>764000</v>
      </c>
      <c r="K11" s="54">
        <f>'MAY-21'!D35</f>
        <v>623471</v>
      </c>
      <c r="L11" s="54">
        <f t="shared" si="0"/>
        <v>140529</v>
      </c>
    </row>
    <row r="12" spans="1:18" x14ac:dyDescent="0.3">
      <c r="A12" s="39">
        <v>44348</v>
      </c>
      <c r="B12" s="40">
        <f>'JUN-21'!H35</f>
        <v>1528</v>
      </c>
      <c r="C12" s="41">
        <f>'JUN-21'!H36</f>
        <v>72.761904761904759</v>
      </c>
      <c r="I12" s="39">
        <v>44348</v>
      </c>
      <c r="J12" s="54">
        <f>'JUN-21'!C35</f>
        <v>500000</v>
      </c>
      <c r="K12" s="54">
        <f>'JUN-21'!D35</f>
        <v>513232</v>
      </c>
      <c r="L12" s="54">
        <f t="shared" si="0"/>
        <v>-13232</v>
      </c>
    </row>
    <row r="13" spans="1:18" x14ac:dyDescent="0.3">
      <c r="A13" s="39">
        <v>44378</v>
      </c>
      <c r="B13" s="40">
        <f>'JUL-21'!H35</f>
        <v>1884</v>
      </c>
      <c r="C13" s="40">
        <f>'JUL-21'!H36</f>
        <v>67.071428571428569</v>
      </c>
      <c r="I13" s="39">
        <v>44378</v>
      </c>
      <c r="J13" s="54">
        <f>'JUL-21'!C35</f>
        <v>950000</v>
      </c>
      <c r="K13" s="54">
        <f>'JUL-21'!D35</f>
        <v>855927</v>
      </c>
      <c r="L13" s="54">
        <f t="shared" si="0"/>
        <v>94073</v>
      </c>
    </row>
    <row r="14" spans="1:18" x14ac:dyDescent="0.3">
      <c r="A14" s="39">
        <v>44409</v>
      </c>
      <c r="B14" s="40">
        <f>'AGO-21'!H34</f>
        <v>3049</v>
      </c>
      <c r="C14" s="41">
        <f>'AGO-21'!H35</f>
        <v>111.11111111111111</v>
      </c>
      <c r="I14" s="39">
        <v>44409</v>
      </c>
      <c r="J14" s="54">
        <f>'AGO-21'!C34</f>
        <v>350000</v>
      </c>
      <c r="K14" s="54">
        <f>'AGO-21'!D34</f>
        <v>628683</v>
      </c>
      <c r="L14" s="54">
        <f t="shared" si="0"/>
        <v>-278683</v>
      </c>
    </row>
    <row r="15" spans="1:18" x14ac:dyDescent="0.3">
      <c r="A15" s="39">
        <v>44440</v>
      </c>
      <c r="B15" s="40">
        <f>'SEP-21'!H34</f>
        <v>2005</v>
      </c>
      <c r="C15" s="41">
        <f>'SEP-21'!H35</f>
        <v>77.115384615384613</v>
      </c>
      <c r="I15" s="39">
        <v>44440</v>
      </c>
      <c r="J15" s="54">
        <f>'SEP-21'!C34</f>
        <v>334000</v>
      </c>
      <c r="K15" s="54">
        <f>'SEP-21'!D34</f>
        <v>654024</v>
      </c>
      <c r="L15" s="54">
        <f t="shared" si="0"/>
        <v>-320024</v>
      </c>
    </row>
    <row r="16" spans="1:18" x14ac:dyDescent="0.3">
      <c r="A16" s="39">
        <v>44470</v>
      </c>
      <c r="B16" s="40">
        <f>'OCT-21'!H34</f>
        <v>1737</v>
      </c>
      <c r="C16" s="41">
        <f>'OCT-21'!H35</f>
        <v>61.56</v>
      </c>
      <c r="I16" s="39">
        <v>44470</v>
      </c>
      <c r="J16" s="54">
        <f>'OCT-21'!C34</f>
        <v>850000</v>
      </c>
      <c r="K16" s="54">
        <f>'OCT-21'!D34</f>
        <v>900490</v>
      </c>
      <c r="L16" s="54">
        <f t="shared" si="0"/>
        <v>-50490</v>
      </c>
    </row>
    <row r="17" spans="1:12" x14ac:dyDescent="0.3">
      <c r="A17" s="39">
        <v>44501</v>
      </c>
      <c r="B17" s="40">
        <f>'NOV-21'!H34</f>
        <v>0</v>
      </c>
      <c r="C17" s="41"/>
      <c r="I17" s="39">
        <v>44501</v>
      </c>
      <c r="J17" s="54">
        <f>'NOV-21'!C34</f>
        <v>0</v>
      </c>
      <c r="K17" s="54">
        <f>'NOV-21'!D34</f>
        <v>0</v>
      </c>
      <c r="L17" s="54">
        <f t="shared" si="0"/>
        <v>0</v>
      </c>
    </row>
    <row r="18" spans="1:12" x14ac:dyDescent="0.3">
      <c r="A18" s="39">
        <v>44531</v>
      </c>
      <c r="B18" s="40">
        <f>'DIC-21'!C34</f>
        <v>2270000</v>
      </c>
      <c r="C18" s="41"/>
      <c r="I18" s="39">
        <v>44531</v>
      </c>
      <c r="J18" s="54">
        <f>'DIC-21'!C34</f>
        <v>2270000</v>
      </c>
      <c r="K18" s="54">
        <f>'DIC-21'!D34</f>
        <v>2360511</v>
      </c>
      <c r="L18" s="54">
        <f t="shared" si="0"/>
        <v>-90511</v>
      </c>
    </row>
    <row r="19" spans="1:12" x14ac:dyDescent="0.3">
      <c r="A19" s="132">
        <v>44562</v>
      </c>
      <c r="I19" s="39">
        <v>44562</v>
      </c>
      <c r="J19" s="54">
        <f>'ENE-22'!C35</f>
        <v>1370000</v>
      </c>
      <c r="K19" s="54">
        <f>'ENE-22'!D35</f>
        <v>1717953</v>
      </c>
      <c r="L19" s="54">
        <f t="shared" si="0"/>
        <v>-347953</v>
      </c>
    </row>
    <row r="20" spans="1:12" x14ac:dyDescent="0.3">
      <c r="A20" s="132">
        <v>44593</v>
      </c>
      <c r="I20" s="39">
        <v>44593</v>
      </c>
      <c r="J20" s="54">
        <f>'FEB-22'!C34</f>
        <v>2030000</v>
      </c>
      <c r="K20" s="54">
        <f>'FEB-22'!D34</f>
        <v>2339681</v>
      </c>
      <c r="L20" s="54">
        <f t="shared" si="0"/>
        <v>-309681</v>
      </c>
    </row>
    <row r="21" spans="1:12" x14ac:dyDescent="0.3">
      <c r="A21" s="132">
        <v>44621</v>
      </c>
      <c r="I21" s="39">
        <v>44621</v>
      </c>
      <c r="J21" s="54">
        <f>'MAR-22'!C34</f>
        <v>2529000</v>
      </c>
      <c r="K21" s="54">
        <f>'MAR-22'!D34</f>
        <v>2807669</v>
      </c>
      <c r="L21" s="54">
        <f t="shared" si="0"/>
        <v>-278669</v>
      </c>
    </row>
    <row r="22" spans="1:12" x14ac:dyDescent="0.3">
      <c r="A22" s="132">
        <v>44652</v>
      </c>
      <c r="I22" s="39">
        <v>44652</v>
      </c>
      <c r="J22" s="54">
        <f>'ABRIL-22'!C34</f>
        <v>651331</v>
      </c>
      <c r="K22" s="54">
        <f>'ABRIL-22'!D34</f>
        <v>440124</v>
      </c>
      <c r="L22" s="54">
        <f t="shared" si="0"/>
        <v>211207</v>
      </c>
    </row>
    <row r="23" spans="1:12" x14ac:dyDescent="0.3">
      <c r="A23" s="132">
        <v>44682</v>
      </c>
      <c r="B23" t="s">
        <v>72</v>
      </c>
      <c r="I23" s="39">
        <v>44682</v>
      </c>
      <c r="J23" s="54">
        <f>'MAYO-22'!C34</f>
        <v>0</v>
      </c>
      <c r="K23" s="54">
        <f>'MAYO-22'!D34</f>
        <v>0</v>
      </c>
      <c r="L23" s="54">
        <f t="shared" si="0"/>
        <v>0</v>
      </c>
    </row>
    <row r="24" spans="1:12" x14ac:dyDescent="0.3">
      <c r="A24" s="132">
        <v>44713</v>
      </c>
      <c r="I24" s="39">
        <v>44713</v>
      </c>
      <c r="J24" s="54"/>
      <c r="K24" s="54"/>
      <c r="L24" s="54">
        <f t="shared" si="0"/>
        <v>0</v>
      </c>
    </row>
    <row r="25" spans="1:12" x14ac:dyDescent="0.3">
      <c r="A25" s="132">
        <v>44743</v>
      </c>
      <c r="I25" s="39">
        <v>44743</v>
      </c>
      <c r="J25" s="54"/>
      <c r="K25" s="54"/>
      <c r="L25" s="54">
        <f t="shared" si="0"/>
        <v>0</v>
      </c>
    </row>
    <row r="26" spans="1:12" x14ac:dyDescent="0.3">
      <c r="A26" s="132">
        <v>44774</v>
      </c>
      <c r="I26" s="39">
        <v>44774</v>
      </c>
      <c r="J26" s="54"/>
      <c r="K26" s="54"/>
      <c r="L26" s="54">
        <f t="shared" si="0"/>
        <v>0</v>
      </c>
    </row>
    <row r="27" spans="1:12" x14ac:dyDescent="0.3">
      <c r="A27" s="132">
        <v>44805</v>
      </c>
      <c r="I27" s="39">
        <v>44805</v>
      </c>
      <c r="J27" s="54"/>
      <c r="K27" s="54"/>
      <c r="L27" s="54">
        <f t="shared" si="0"/>
        <v>0</v>
      </c>
    </row>
    <row r="28" spans="1:12" x14ac:dyDescent="0.3">
      <c r="A28" s="132">
        <v>44835</v>
      </c>
      <c r="I28" s="39">
        <v>44835</v>
      </c>
      <c r="J28" s="54"/>
      <c r="K28" s="54"/>
      <c r="L28" s="54">
        <f t="shared" si="0"/>
        <v>0</v>
      </c>
    </row>
    <row r="29" spans="1:12" x14ac:dyDescent="0.3">
      <c r="A29" s="132">
        <v>44866</v>
      </c>
      <c r="I29" s="39">
        <v>44866</v>
      </c>
      <c r="J29" s="54"/>
      <c r="K29" s="54"/>
      <c r="L29" s="54">
        <f t="shared" si="0"/>
        <v>0</v>
      </c>
    </row>
    <row r="30" spans="1:12" x14ac:dyDescent="0.3">
      <c r="A30" s="132">
        <v>44896</v>
      </c>
      <c r="I30" s="39">
        <v>44896</v>
      </c>
      <c r="J30" s="54"/>
      <c r="K30" s="54"/>
      <c r="L30" s="54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2</vt:i4>
      </vt:variant>
    </vt:vector>
  </HeadingPairs>
  <TitlesOfParts>
    <vt:vector size="26" baseType="lpstr">
      <vt:lpstr>Hoja1</vt:lpstr>
      <vt:lpstr>ACPM</vt:lpstr>
      <vt:lpstr>SEP-20</vt:lpstr>
      <vt:lpstr>OCT-20</vt:lpstr>
      <vt:lpstr>NOV-20</vt:lpstr>
      <vt:lpstr>DIC-20</vt:lpstr>
      <vt:lpstr>ENE-21</vt:lpstr>
      <vt:lpstr>FEB-21</vt:lpstr>
      <vt:lpstr>MAR-21</vt:lpstr>
      <vt:lpstr>ABR-21</vt:lpstr>
      <vt:lpstr>MAY-21</vt:lpstr>
      <vt:lpstr>JUN-21</vt:lpstr>
      <vt:lpstr>JUL-21</vt:lpstr>
      <vt:lpstr>AGO-21</vt:lpstr>
      <vt:lpstr>SEP-21</vt:lpstr>
      <vt:lpstr>OCT-21</vt:lpstr>
      <vt:lpstr>NOV-21</vt:lpstr>
      <vt:lpstr>DIC-21</vt:lpstr>
      <vt:lpstr>ENE-22</vt:lpstr>
      <vt:lpstr>FEB-22</vt:lpstr>
      <vt:lpstr>MAR-22</vt:lpstr>
      <vt:lpstr>ABRIL-22</vt:lpstr>
      <vt:lpstr>MAYO-22</vt:lpstr>
      <vt:lpstr>RESUMEN</vt:lpstr>
      <vt:lpstr>'DIC-21'!Área_de_impresión</vt:lpstr>
      <vt:lpstr>'NOV-21'!Área_de_impresión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Cortes</dc:creator>
  <cp:lastModifiedBy>Asus</cp:lastModifiedBy>
  <cp:lastPrinted>2022-01-06T03:19:14Z</cp:lastPrinted>
  <dcterms:created xsi:type="dcterms:W3CDTF">2020-09-16T01:48:37Z</dcterms:created>
  <dcterms:modified xsi:type="dcterms:W3CDTF">2022-04-27T03:58:01Z</dcterms:modified>
</cp:coreProperties>
</file>