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<sst xmlns="http://schemas.openxmlformats.org/spreadsheetml/2006/main" count="7597" uniqueCount="1535">
  <si>
    <t>Hyperlinked Case #</t>
  </si>
  <si>
    <t>Assigned Branch/CC</t>
  </si>
  <si>
    <t>Caseworker Name</t>
  </si>
  <si>
    <t>Client First Name</t>
  </si>
  <si>
    <t>Client Last Name</t>
  </si>
  <si>
    <t>FundsNum</t>
  </si>
  <si>
    <t>Date Opened</t>
  </si>
  <si>
    <t>Time Updated</t>
  </si>
  <si>
    <t>Servicer</t>
  </si>
  <si>
    <t>Servicer.1</t>
  </si>
  <si>
    <t>Race (CNYCN)</t>
  </si>
  <si>
    <t>Number of People 18 and Over</t>
  </si>
  <si>
    <t>Number of People under 18</t>
  </si>
  <si>
    <t>Number Of Seniors In Household</t>
  </si>
  <si>
    <t>FPU Num Prop Units</t>
  </si>
  <si>
    <t xml:space="preserve">Total Annual Income </t>
  </si>
  <si>
    <t>Zip Code</t>
  </si>
  <si>
    <t>County of Residence</t>
  </si>
  <si>
    <t>FPU Prim Src Client Prob</t>
  </si>
  <si>
    <t>FPU Sec Src Client Prob</t>
  </si>
  <si>
    <t>Type Of Assistance</t>
  </si>
  <si>
    <t>Secondary Assistance Type</t>
  </si>
  <si>
    <t>Loan Modification Status</t>
  </si>
  <si>
    <t>Loan Modification Status 2</t>
  </si>
  <si>
    <t>FPU Primary Outcome</t>
  </si>
  <si>
    <t>FPU Primary Outcome - 2nd</t>
  </si>
  <si>
    <t>FPU Secondary Outcome</t>
  </si>
  <si>
    <t>FPU Secondary Outcome - 2nd</t>
  </si>
  <si>
    <t>FPU Mod PITI Payment - 1st</t>
  </si>
  <si>
    <t>FPU Mod PITI Payment - 2nd</t>
  </si>
  <si>
    <t>Funds Obtained</t>
  </si>
  <si>
    <t>FPU Amount of Principal Forbearance (1st)</t>
  </si>
  <si>
    <t>FPU Amount of Principal Forbearance (2nd)</t>
  </si>
  <si>
    <t>Debt Discharged In Short Sales</t>
  </si>
  <si>
    <t>Settlement Amount</t>
  </si>
  <si>
    <t>Bronx Legal Services</t>
  </si>
  <si>
    <t>Queens Legal Services</t>
  </si>
  <si>
    <t>Brooklyn Legal Services</t>
  </si>
  <si>
    <t>Staten Island Legal Services</t>
  </si>
  <si>
    <t>Lorenzo, Alexis</t>
  </si>
  <si>
    <t>Arias, Sandra</t>
  </si>
  <si>
    <t>Burkle, Arthur</t>
  </si>
  <si>
    <t>Griffin, Jacquelyn</t>
  </si>
  <si>
    <t>McDonald, Geoffrey</t>
  </si>
  <si>
    <t>Tillona, Thomas</t>
  </si>
  <si>
    <t>Manaugh, Sara</t>
  </si>
  <si>
    <t>Schwartz, Irv</t>
  </si>
  <si>
    <t>Rodriguez, Priscilla</t>
  </si>
  <si>
    <t>Lerman, Jennifer</t>
  </si>
  <si>
    <t>Hammersmith, Amy</t>
  </si>
  <si>
    <t>Isobe, Catherine</t>
  </si>
  <si>
    <t>Corcione, Emily</t>
  </si>
  <si>
    <t>Lee, Thomas</t>
  </si>
  <si>
    <t>Baldwin, Sarah</t>
  </si>
  <si>
    <t>Herman, Terry</t>
  </si>
  <si>
    <t>Maltezos, Alexander</t>
  </si>
  <si>
    <t>Newton, Christopher</t>
  </si>
  <si>
    <t>Eisenberg, Jennifer</t>
  </si>
  <si>
    <t>Geballe, Rachel</t>
  </si>
  <si>
    <t>Jonas, Myrtle</t>
  </si>
  <si>
    <t>Scherman, Randi</t>
  </si>
  <si>
    <t>De Jesus, Martha</t>
  </si>
  <si>
    <t>Tan, Andrea</t>
  </si>
  <si>
    <t>Capers, Azalea</t>
  </si>
  <si>
    <t>Pacheco, Joe</t>
  </si>
  <si>
    <t>Nunez, Crystal</t>
  </si>
  <si>
    <t>Arif</t>
  </si>
  <si>
    <t>Hazel</t>
  </si>
  <si>
    <t>Su</t>
  </si>
  <si>
    <t>Surajlal</t>
  </si>
  <si>
    <t>Sammy</t>
  </si>
  <si>
    <t>Linda</t>
  </si>
  <si>
    <t>Sudarshan</t>
  </si>
  <si>
    <t>Mohan</t>
  </si>
  <si>
    <t>Ajantha</t>
  </si>
  <si>
    <t>Emelita</t>
  </si>
  <si>
    <t>Lani</t>
  </si>
  <si>
    <t>Mohandai</t>
  </si>
  <si>
    <t>Anita</t>
  </si>
  <si>
    <t>Anura</t>
  </si>
  <si>
    <t>Tom</t>
  </si>
  <si>
    <t>Minaz</t>
  </si>
  <si>
    <t>Lynette</t>
  </si>
  <si>
    <t>Mike</t>
  </si>
  <si>
    <t>Tsu</t>
  </si>
  <si>
    <t>Marco</t>
  </si>
  <si>
    <t>Susan</t>
  </si>
  <si>
    <t>Jacqueline</t>
  </si>
  <si>
    <t>Jagpi</t>
  </si>
  <si>
    <t>Marlene</t>
  </si>
  <si>
    <t>Larry</t>
  </si>
  <si>
    <t>Nysheva-Starr</t>
  </si>
  <si>
    <t>Henrietta</t>
  </si>
  <si>
    <t>Nzingha</t>
  </si>
  <si>
    <t>Maurice</t>
  </si>
  <si>
    <t>Calbert</t>
  </si>
  <si>
    <t>Nozanie</t>
  </si>
  <si>
    <t>Feron</t>
  </si>
  <si>
    <t>Tanelle</t>
  </si>
  <si>
    <t>Nonci</t>
  </si>
  <si>
    <t>Clifford</t>
  </si>
  <si>
    <t>Pansy</t>
  </si>
  <si>
    <t>Donna</t>
  </si>
  <si>
    <t>Deborah</t>
  </si>
  <si>
    <t>Patrice</t>
  </si>
  <si>
    <t>Marcia</t>
  </si>
  <si>
    <t>Dinah</t>
  </si>
  <si>
    <t>Ramond</t>
  </si>
  <si>
    <t>Simone</t>
  </si>
  <si>
    <t>Winston</t>
  </si>
  <si>
    <t>Lenford</t>
  </si>
  <si>
    <t>Agyei</t>
  </si>
  <si>
    <t>Sabrina</t>
  </si>
  <si>
    <t>Mary</t>
  </si>
  <si>
    <t>Raymond</t>
  </si>
  <si>
    <t>Wayne</t>
  </si>
  <si>
    <t>Burton</t>
  </si>
  <si>
    <t>Ayana</t>
  </si>
  <si>
    <t>Odetta</t>
  </si>
  <si>
    <t>Gwenethe</t>
  </si>
  <si>
    <t>Andrea</t>
  </si>
  <si>
    <t>Ursula</t>
  </si>
  <si>
    <t>Herman</t>
  </si>
  <si>
    <t>George</t>
  </si>
  <si>
    <t>Jeffrey</t>
  </si>
  <si>
    <t>Angela</t>
  </si>
  <si>
    <t>Kwame</t>
  </si>
  <si>
    <t>Rory</t>
  </si>
  <si>
    <t>James</t>
  </si>
  <si>
    <t>Reynaldo</t>
  </si>
  <si>
    <t>Hirfa</t>
  </si>
  <si>
    <t>Dorothy</t>
  </si>
  <si>
    <t>Morris</t>
  </si>
  <si>
    <t>Dee</t>
  </si>
  <si>
    <t>Christiana</t>
  </si>
  <si>
    <t>Evelyn</t>
  </si>
  <si>
    <t>Janette</t>
  </si>
  <si>
    <t>Debra</t>
  </si>
  <si>
    <t>Kevin</t>
  </si>
  <si>
    <t>Ardell</t>
  </si>
  <si>
    <t>Laura</t>
  </si>
  <si>
    <t>Alice</t>
  </si>
  <si>
    <t>Curtis</t>
  </si>
  <si>
    <t>Alton</t>
  </si>
  <si>
    <t>Kerrea</t>
  </si>
  <si>
    <t>Denise</t>
  </si>
  <si>
    <t>Sandra</t>
  </si>
  <si>
    <t>Marcelle</t>
  </si>
  <si>
    <t>Gail</t>
  </si>
  <si>
    <t>Germaine</t>
  </si>
  <si>
    <t>Elizabeth</t>
  </si>
  <si>
    <t>Patricia</t>
  </si>
  <si>
    <t>Francesca</t>
  </si>
  <si>
    <t>Colin</t>
  </si>
  <si>
    <t>Stanford</t>
  </si>
  <si>
    <t>Kathleen</t>
  </si>
  <si>
    <t>Merlene</t>
  </si>
  <si>
    <t>Toyin</t>
  </si>
  <si>
    <t>Christina</t>
  </si>
  <si>
    <t>Marie</t>
  </si>
  <si>
    <t>Joseph</t>
  </si>
  <si>
    <t>Edna</t>
  </si>
  <si>
    <t>Gina</t>
  </si>
  <si>
    <t>Catherine</t>
  </si>
  <si>
    <t>Sonia</t>
  </si>
  <si>
    <t>Magdalene</t>
  </si>
  <si>
    <t>Jahiz</t>
  </si>
  <si>
    <t>Malcolm</t>
  </si>
  <si>
    <t>Olive</t>
  </si>
  <si>
    <t>Celena</t>
  </si>
  <si>
    <t>Brenda</t>
  </si>
  <si>
    <t>Robyn</t>
  </si>
  <si>
    <t>Zuri</t>
  </si>
  <si>
    <t>Farrah</t>
  </si>
  <si>
    <t>Nakisha</t>
  </si>
  <si>
    <t>Oluremi</t>
  </si>
  <si>
    <t>Cecil</t>
  </si>
  <si>
    <t>Norman</t>
  </si>
  <si>
    <t>Paula</t>
  </si>
  <si>
    <t>Judith</t>
  </si>
  <si>
    <t>Yanick</t>
  </si>
  <si>
    <t>Jorge</t>
  </si>
  <si>
    <t>Diane</t>
  </si>
  <si>
    <t>Darlene</t>
  </si>
  <si>
    <t>Tanya</t>
  </si>
  <si>
    <t>Nigel</t>
  </si>
  <si>
    <t>Willie</t>
  </si>
  <si>
    <t>Keisha</t>
  </si>
  <si>
    <t>Michelle</t>
  </si>
  <si>
    <t>Glenda</t>
  </si>
  <si>
    <t>Kim</t>
  </si>
  <si>
    <t>Jonathan</t>
  </si>
  <si>
    <t>Tamiko</t>
  </si>
  <si>
    <t>Aparicia</t>
  </si>
  <si>
    <t>Tony</t>
  </si>
  <si>
    <t>Danielle</t>
  </si>
  <si>
    <t>Shawana</t>
  </si>
  <si>
    <t>Charles</t>
  </si>
  <si>
    <t>Renee</t>
  </si>
  <si>
    <t>Carmen</t>
  </si>
  <si>
    <t>Cordelia</t>
  </si>
  <si>
    <t>Marsha</t>
  </si>
  <si>
    <t>Timothy</t>
  </si>
  <si>
    <t>Kenneth</t>
  </si>
  <si>
    <t>Lisa</t>
  </si>
  <si>
    <t>Josephine</t>
  </si>
  <si>
    <t>Betty</t>
  </si>
  <si>
    <t>Daniel</t>
  </si>
  <si>
    <t>Jon</t>
  </si>
  <si>
    <t>Violet</t>
  </si>
  <si>
    <t>Carolyn</t>
  </si>
  <si>
    <t>Sophia</t>
  </si>
  <si>
    <t>Wilda</t>
  </si>
  <si>
    <t>Ghislaine</t>
  </si>
  <si>
    <t>Darryl</t>
  </si>
  <si>
    <t>Angelic</t>
  </si>
  <si>
    <t>Louis</t>
  </si>
  <si>
    <t>Patrick</t>
  </si>
  <si>
    <t>Robert</t>
  </si>
  <si>
    <t>Lakisha</t>
  </si>
  <si>
    <t>David</t>
  </si>
  <si>
    <t>Dawn</t>
  </si>
  <si>
    <t>Beverly</t>
  </si>
  <si>
    <t>Emanuel</t>
  </si>
  <si>
    <t>Marilyn</t>
  </si>
  <si>
    <t>Victory</t>
  </si>
  <si>
    <t>Beatrice</t>
  </si>
  <si>
    <t>Henderson</t>
  </si>
  <si>
    <t>Louise</t>
  </si>
  <si>
    <t>Ronald</t>
  </si>
  <si>
    <t>Wesner</t>
  </si>
  <si>
    <t>Shannika</t>
  </si>
  <si>
    <t>Kakuna</t>
  </si>
  <si>
    <t>Aris</t>
  </si>
  <si>
    <t>Kerry</t>
  </si>
  <si>
    <t>Marion</t>
  </si>
  <si>
    <t>Cyprian</t>
  </si>
  <si>
    <t>Donnamarie</t>
  </si>
  <si>
    <t>Jim</t>
  </si>
  <si>
    <t>Stacey</t>
  </si>
  <si>
    <t>Yassah</t>
  </si>
  <si>
    <t>Ramona</t>
  </si>
  <si>
    <t>Pamela</t>
  </si>
  <si>
    <t>Tracy</t>
  </si>
  <si>
    <t>Georgia</t>
  </si>
  <si>
    <t>Cheryll</t>
  </si>
  <si>
    <t>Cheryl</t>
  </si>
  <si>
    <t>Ralph</t>
  </si>
  <si>
    <t>Dianne</t>
  </si>
  <si>
    <t>Hillary</t>
  </si>
  <si>
    <t>Neville</t>
  </si>
  <si>
    <t>Burke</t>
  </si>
  <si>
    <t>Anthony</t>
  </si>
  <si>
    <t>Carmel</t>
  </si>
  <si>
    <t>Lennox</t>
  </si>
  <si>
    <t>Kelton</t>
  </si>
  <si>
    <t>Gwendolyn</t>
  </si>
  <si>
    <t>Carron</t>
  </si>
  <si>
    <t>Shariann</t>
  </si>
  <si>
    <t>Isaac</t>
  </si>
  <si>
    <t>Dominie</t>
  </si>
  <si>
    <t>Edwin</t>
  </si>
  <si>
    <t>Gerald</t>
  </si>
  <si>
    <t>Michael</t>
  </si>
  <si>
    <t>Sedley</t>
  </si>
  <si>
    <t>Alicia</t>
  </si>
  <si>
    <t>William</t>
  </si>
  <si>
    <t>Hernetha</t>
  </si>
  <si>
    <t>Nioka</t>
  </si>
  <si>
    <t>Kimberly</t>
  </si>
  <si>
    <t>Gladys</t>
  </si>
  <si>
    <t>Laurel</t>
  </si>
  <si>
    <t>Regina</t>
  </si>
  <si>
    <t>Annette</t>
  </si>
  <si>
    <t>Myiesha</t>
  </si>
  <si>
    <t>Valerie</t>
  </si>
  <si>
    <t>Carl</t>
  </si>
  <si>
    <t>Alcides</t>
  </si>
  <si>
    <t>Carline</t>
  </si>
  <si>
    <t>Mohammed</t>
  </si>
  <si>
    <t>Carlyle</t>
  </si>
  <si>
    <t>Cassandra</t>
  </si>
  <si>
    <t>Ronie</t>
  </si>
  <si>
    <t>Lenworth</t>
  </si>
  <si>
    <t>Shirley</t>
  </si>
  <si>
    <t>Sharon</t>
  </si>
  <si>
    <t>Adriana</t>
  </si>
  <si>
    <t>Devon</t>
  </si>
  <si>
    <t>Vanise</t>
  </si>
  <si>
    <t>Arthur</t>
  </si>
  <si>
    <t>Darren</t>
  </si>
  <si>
    <t>Derrick</t>
  </si>
  <si>
    <t>Christnicha</t>
  </si>
  <si>
    <t>Mervyn</t>
  </si>
  <si>
    <t>Christine</t>
  </si>
  <si>
    <t>Maudline</t>
  </si>
  <si>
    <t>Ivy</t>
  </si>
  <si>
    <t>Vancia</t>
  </si>
  <si>
    <t>Brian</t>
  </si>
  <si>
    <t>Verlethia</t>
  </si>
  <si>
    <t>Janulyn</t>
  </si>
  <si>
    <t>Ezlyn</t>
  </si>
  <si>
    <t>Eunice</t>
  </si>
  <si>
    <t>Janet</t>
  </si>
  <si>
    <t>Fredrick</t>
  </si>
  <si>
    <t>Rosalie</t>
  </si>
  <si>
    <t>Derek</t>
  </si>
  <si>
    <t>Kelly</t>
  </si>
  <si>
    <t>Romeo</t>
  </si>
  <si>
    <t>Karen</t>
  </si>
  <si>
    <t>Saleemah</t>
  </si>
  <si>
    <t>Joanne</t>
  </si>
  <si>
    <t>Sarah</t>
  </si>
  <si>
    <t>Cynthia</t>
  </si>
  <si>
    <t>Wilbert</t>
  </si>
  <si>
    <t>Felipe</t>
  </si>
  <si>
    <t>Jeanette</t>
  </si>
  <si>
    <t>Beverley</t>
  </si>
  <si>
    <t>Jean Robert</t>
  </si>
  <si>
    <t>Mara</t>
  </si>
  <si>
    <t>Shawn</t>
  </si>
  <si>
    <t>Nanette</t>
  </si>
  <si>
    <t>Maddie</t>
  </si>
  <si>
    <t>Abiodun</t>
  </si>
  <si>
    <t>Melsada</t>
  </si>
  <si>
    <t>Jemma</t>
  </si>
  <si>
    <t>Khalid</t>
  </si>
  <si>
    <t>Kasey</t>
  </si>
  <si>
    <t>Tricia</t>
  </si>
  <si>
    <t>Compton</t>
  </si>
  <si>
    <t>Aishah</t>
  </si>
  <si>
    <t>Marva</t>
  </si>
  <si>
    <t>Perry</t>
  </si>
  <si>
    <t>Shannon</t>
  </si>
  <si>
    <t>Byron</t>
  </si>
  <si>
    <t>Nathaniel</t>
  </si>
  <si>
    <t>Ana</t>
  </si>
  <si>
    <t>Betsy</t>
  </si>
  <si>
    <t>Nicole</t>
  </si>
  <si>
    <t>Roberto</t>
  </si>
  <si>
    <t>Akil</t>
  </si>
  <si>
    <t>Juan</t>
  </si>
  <si>
    <t>Vilma</t>
  </si>
  <si>
    <t>Ayanna</t>
  </si>
  <si>
    <t>Ismael</t>
  </si>
  <si>
    <t>Zoila</t>
  </si>
  <si>
    <t>Theresa</t>
  </si>
  <si>
    <t>Ramdeen</t>
  </si>
  <si>
    <t>Narcisa</t>
  </si>
  <si>
    <t>Diana</t>
  </si>
  <si>
    <t>Maureen</t>
  </si>
  <si>
    <t>Eva</t>
  </si>
  <si>
    <t>Brett</t>
  </si>
  <si>
    <t>Henry</t>
  </si>
  <si>
    <t>Teresa</t>
  </si>
  <si>
    <t>Rosemary</t>
  </si>
  <si>
    <t>Oscar</t>
  </si>
  <si>
    <t>June</t>
  </si>
  <si>
    <t>Nancy</t>
  </si>
  <si>
    <t>Danny</t>
  </si>
  <si>
    <t>Ashleigh</t>
  </si>
  <si>
    <t>Felicia</t>
  </si>
  <si>
    <t>Albert</t>
  </si>
  <si>
    <t>Maribel</t>
  </si>
  <si>
    <t>Fabio</t>
  </si>
  <si>
    <t>Emilio</t>
  </si>
  <si>
    <t>Ricardo</t>
  </si>
  <si>
    <t>Shivanne</t>
  </si>
  <si>
    <t>Abulfazal</t>
  </si>
  <si>
    <t>Sofia</t>
  </si>
  <si>
    <t>Rebecca</t>
  </si>
  <si>
    <t>Haitram</t>
  </si>
  <si>
    <t>Mary Frances</t>
  </si>
  <si>
    <t>Antonia</t>
  </si>
  <si>
    <t>Ivitt</t>
  </si>
  <si>
    <t>Carleater</t>
  </si>
  <si>
    <t>Wanda</t>
  </si>
  <si>
    <t>Hugo</t>
  </si>
  <si>
    <t>Domingo</t>
  </si>
  <si>
    <t>Ramon</t>
  </si>
  <si>
    <t>Herminia</t>
  </si>
  <si>
    <t>Fabiola</t>
  </si>
  <si>
    <t>Glaidy</t>
  </si>
  <si>
    <t>Adam</t>
  </si>
  <si>
    <t>Sandy</t>
  </si>
  <si>
    <t>Jennifer</t>
  </si>
  <si>
    <t>Husam</t>
  </si>
  <si>
    <t>Radi</t>
  </si>
  <si>
    <t>Anna</t>
  </si>
  <si>
    <t>Liborio</t>
  </si>
  <si>
    <t>Richard</t>
  </si>
  <si>
    <t>Rhadames</t>
  </si>
  <si>
    <t>Luis</t>
  </si>
  <si>
    <t>Sivdat</t>
  </si>
  <si>
    <t>Dhanie</t>
  </si>
  <si>
    <t>Kamal</t>
  </si>
  <si>
    <t>Elfrida</t>
  </si>
  <si>
    <t>Iliana</t>
  </si>
  <si>
    <t>Fernando</t>
  </si>
  <si>
    <t>Jose</t>
  </si>
  <si>
    <t>Vickey</t>
  </si>
  <si>
    <t>Aharon</t>
  </si>
  <si>
    <t>Frances</t>
  </si>
  <si>
    <t>Kristy</t>
  </si>
  <si>
    <t>Ayman</t>
  </si>
  <si>
    <t>Christopher</t>
  </si>
  <si>
    <t>Errold</t>
  </si>
  <si>
    <t>Lindo</t>
  </si>
  <si>
    <t>Waleska</t>
  </si>
  <si>
    <t>Kelvin</t>
  </si>
  <si>
    <t>Doris</t>
  </si>
  <si>
    <t>Anselmo</t>
  </si>
  <si>
    <t>Julio</t>
  </si>
  <si>
    <t>Thao Thu</t>
  </si>
  <si>
    <t>Javier</t>
  </si>
  <si>
    <t>Santiago</t>
  </si>
  <si>
    <t>Hermilo</t>
  </si>
  <si>
    <t>Evanice</t>
  </si>
  <si>
    <t>Melissa</t>
  </si>
  <si>
    <t>John</t>
  </si>
  <si>
    <t>Isani</t>
  </si>
  <si>
    <t>Samanta</t>
  </si>
  <si>
    <t>Alba</t>
  </si>
  <si>
    <t>Rolando</t>
  </si>
  <si>
    <t>Pedro</t>
  </si>
  <si>
    <t>Caonabo</t>
  </si>
  <si>
    <t>Naveed</t>
  </si>
  <si>
    <t>Maria</t>
  </si>
  <si>
    <t>Solenny</t>
  </si>
  <si>
    <t>Deanna</t>
  </si>
  <si>
    <t>Irma</t>
  </si>
  <si>
    <t>Craig</t>
  </si>
  <si>
    <t>Anastassia</t>
  </si>
  <si>
    <t>Taik</t>
  </si>
  <si>
    <t>Dierdre</t>
  </si>
  <si>
    <t>Segundo</t>
  </si>
  <si>
    <t>Saeed</t>
  </si>
  <si>
    <t>Lawrence</t>
  </si>
  <si>
    <t>Deokali</t>
  </si>
  <si>
    <t>Debbie</t>
  </si>
  <si>
    <t>Adrienne</t>
  </si>
  <si>
    <t>Nelson</t>
  </si>
  <si>
    <t>Migdalia</t>
  </si>
  <si>
    <t>Ramoutar</t>
  </si>
  <si>
    <t>Jassen</t>
  </si>
  <si>
    <t>Beatriz</t>
  </si>
  <si>
    <t>Iris</t>
  </si>
  <si>
    <t>Edward</t>
  </si>
  <si>
    <t>Frank</t>
  </si>
  <si>
    <t>Marina</t>
  </si>
  <si>
    <t>Shadeek</t>
  </si>
  <si>
    <t>Alexander</t>
  </si>
  <si>
    <t>Paul</t>
  </si>
  <si>
    <t>Joan</t>
  </si>
  <si>
    <t>Angelique</t>
  </si>
  <si>
    <t>Fred</t>
  </si>
  <si>
    <t>Mary Jean</t>
  </si>
  <si>
    <t>Toni</t>
  </si>
  <si>
    <t>Isidore</t>
  </si>
  <si>
    <t>Carol</t>
  </si>
  <si>
    <t>Bedrie</t>
  </si>
  <si>
    <t>Nicholas</t>
  </si>
  <si>
    <t>Laurie</t>
  </si>
  <si>
    <t>Dara</t>
  </si>
  <si>
    <t>Rosalina</t>
  </si>
  <si>
    <t>Phyllis</t>
  </si>
  <si>
    <t>Montague</t>
  </si>
  <si>
    <t>Lorraine</t>
  </si>
  <si>
    <t>Konstantina</t>
  </si>
  <si>
    <t>Francis</t>
  </si>
  <si>
    <t>Betteann</t>
  </si>
  <si>
    <t>Buruch</t>
  </si>
  <si>
    <t>Boris</t>
  </si>
  <si>
    <t>Neil</t>
  </si>
  <si>
    <t>Claudette</t>
  </si>
  <si>
    <t>Stacy</t>
  </si>
  <si>
    <t>Eileen</t>
  </si>
  <si>
    <t>Martin</t>
  </si>
  <si>
    <t>Sean</t>
  </si>
  <si>
    <t>Thomas</t>
  </si>
  <si>
    <t>Lori</t>
  </si>
  <si>
    <t>Nick</t>
  </si>
  <si>
    <t>Cristofer</t>
  </si>
  <si>
    <t>Suzan</t>
  </si>
  <si>
    <t>Vincenza</t>
  </si>
  <si>
    <t>Julie</t>
  </si>
  <si>
    <t>Scott</t>
  </si>
  <si>
    <t>Tara</t>
  </si>
  <si>
    <t>Nikos</t>
  </si>
  <si>
    <t>Ann</t>
  </si>
  <si>
    <t>Maryanne</t>
  </si>
  <si>
    <t>Stavros</t>
  </si>
  <si>
    <t>Constance</t>
  </si>
  <si>
    <t>Peter</t>
  </si>
  <si>
    <t>Oksana</t>
  </si>
  <si>
    <t>Alfred</t>
  </si>
  <si>
    <t>Violeta</t>
  </si>
  <si>
    <t>Oleg</t>
  </si>
  <si>
    <t>Rudy</t>
  </si>
  <si>
    <t>Alona</t>
  </si>
  <si>
    <t>Glenn</t>
  </si>
  <si>
    <t>Jackie</t>
  </si>
  <si>
    <t>Eleanor</t>
  </si>
  <si>
    <t>Florence</t>
  </si>
  <si>
    <t>Barbra</t>
  </si>
  <si>
    <t>Vasilios</t>
  </si>
  <si>
    <t>Solomon</t>
  </si>
  <si>
    <t>Nizamuddeen</t>
  </si>
  <si>
    <t>Straughn</t>
  </si>
  <si>
    <t>Park</t>
  </si>
  <si>
    <t>Singh</t>
  </si>
  <si>
    <t>Chan</t>
  </si>
  <si>
    <t>Alirkan</t>
  </si>
  <si>
    <t>Thind</t>
  </si>
  <si>
    <t>Herath</t>
  </si>
  <si>
    <t>Harrison</t>
  </si>
  <si>
    <t>McNally</t>
  </si>
  <si>
    <t>Parmesar</t>
  </si>
  <si>
    <t>Thapa</t>
  </si>
  <si>
    <t>Dissanayake</t>
  </si>
  <si>
    <t>Kabani</t>
  </si>
  <si>
    <t>Azar</t>
  </si>
  <si>
    <t>Ramlogan</t>
  </si>
  <si>
    <t>Hsu</t>
  </si>
  <si>
    <t>Delvois</t>
  </si>
  <si>
    <t>Lee</t>
  </si>
  <si>
    <t>Jones</t>
  </si>
  <si>
    <t>Irish</t>
  </si>
  <si>
    <t>Holmes</t>
  </si>
  <si>
    <t>Ambrister</t>
  </si>
  <si>
    <t>No Last Name</t>
  </si>
  <si>
    <t>Ilomudio</t>
  </si>
  <si>
    <t>Clarke</t>
  </si>
  <si>
    <t>Crawford</t>
  </si>
  <si>
    <t>Urquhart Jr</t>
  </si>
  <si>
    <t>Saint-Val</t>
  </si>
  <si>
    <t>Armstead</t>
  </si>
  <si>
    <t>Pierre-Antoine</t>
  </si>
  <si>
    <t>Olive-Dones</t>
  </si>
  <si>
    <t>Grant</t>
  </si>
  <si>
    <t>Perkins</t>
  </si>
  <si>
    <t>Harris</t>
  </si>
  <si>
    <t>Davis-Josephs</t>
  </si>
  <si>
    <t>Picot</t>
  </si>
  <si>
    <t>Bond</t>
  </si>
  <si>
    <t>Warren</t>
  </si>
  <si>
    <t>Stewart</t>
  </si>
  <si>
    <t>Leone</t>
  </si>
  <si>
    <t>Dell</t>
  </si>
  <si>
    <t>Tyehimba-Green</t>
  </si>
  <si>
    <t>Sherwood</t>
  </si>
  <si>
    <t>Benjamin</t>
  </si>
  <si>
    <t>Broadnax</t>
  </si>
  <si>
    <t>Spears</t>
  </si>
  <si>
    <t>Ewart</t>
  </si>
  <si>
    <t>Rush</t>
  </si>
  <si>
    <t>Morrison</t>
  </si>
  <si>
    <t>Bourne</t>
  </si>
  <si>
    <t>Govia</t>
  </si>
  <si>
    <t>Bishop</t>
  </si>
  <si>
    <t>Culver</t>
  </si>
  <si>
    <t>Kerten</t>
  </si>
  <si>
    <t>Charles-Pierre</t>
  </si>
  <si>
    <t>Edwards</t>
  </si>
  <si>
    <t>Johannes</t>
  </si>
  <si>
    <t>Howell</t>
  </si>
  <si>
    <t>Gilmore</t>
  </si>
  <si>
    <t>Hunt</t>
  </si>
  <si>
    <t>Brooks</t>
  </si>
  <si>
    <t>Brown</t>
  </si>
  <si>
    <t>Cook</t>
  </si>
  <si>
    <t>Cooper-Jones</t>
  </si>
  <si>
    <t>Babalola</t>
  </si>
  <si>
    <t>Wilson</t>
  </si>
  <si>
    <t>Hayles</t>
  </si>
  <si>
    <t>Lewis</t>
  </si>
  <si>
    <t>Goodwin</t>
  </si>
  <si>
    <t>Hailey</t>
  </si>
  <si>
    <t>McCall</t>
  </si>
  <si>
    <t>Saulsbury</t>
  </si>
  <si>
    <t>Simmons</t>
  </si>
  <si>
    <t>Soares</t>
  </si>
  <si>
    <t>Wynn</t>
  </si>
  <si>
    <t>Registe</t>
  </si>
  <si>
    <t>Lawson</t>
  </si>
  <si>
    <t>Quashie</t>
  </si>
  <si>
    <t>Myles</t>
  </si>
  <si>
    <t>Thevenin</t>
  </si>
  <si>
    <t>Paisley</t>
  </si>
  <si>
    <t>Cox</t>
  </si>
  <si>
    <t>Crick</t>
  </si>
  <si>
    <t>Adekoya</t>
  </si>
  <si>
    <t>Adams</t>
  </si>
  <si>
    <t>Delence</t>
  </si>
  <si>
    <t>Pollard</t>
  </si>
  <si>
    <t>Hayden</t>
  </si>
  <si>
    <t>Odom</t>
  </si>
  <si>
    <t>Brutus</t>
  </si>
  <si>
    <t>Montgomery</t>
  </si>
  <si>
    <t>Powell</t>
  </si>
  <si>
    <t>Duberry</t>
  </si>
  <si>
    <t>Nweke</t>
  </si>
  <si>
    <t>Dupass</t>
  </si>
  <si>
    <t>Smartt</t>
  </si>
  <si>
    <t>Thompson</t>
  </si>
  <si>
    <t>Simon</t>
  </si>
  <si>
    <t>Cheeseman</t>
  </si>
  <si>
    <t>Dickerson</t>
  </si>
  <si>
    <t>Gee</t>
  </si>
  <si>
    <t>Lafontant</t>
  </si>
  <si>
    <t>Awolowo</t>
  </si>
  <si>
    <t>Irvin</t>
  </si>
  <si>
    <t>Jackson</t>
  </si>
  <si>
    <t>Livingston</t>
  </si>
  <si>
    <t>Annan</t>
  </si>
  <si>
    <t>Saintil</t>
  </si>
  <si>
    <t>Steven</t>
  </si>
  <si>
    <t>Friesan</t>
  </si>
  <si>
    <t>Foster</t>
  </si>
  <si>
    <t>Barnes</t>
  </si>
  <si>
    <t>Jones III</t>
  </si>
  <si>
    <t>Noto</t>
  </si>
  <si>
    <t>Mcclymont</t>
  </si>
  <si>
    <t>Ammon</t>
  </si>
  <si>
    <t>Clark</t>
  </si>
  <si>
    <t>King</t>
  </si>
  <si>
    <t>Flores</t>
  </si>
  <si>
    <t>Clanton</t>
  </si>
  <si>
    <t>Gipson</t>
  </si>
  <si>
    <t>Barnett</t>
  </si>
  <si>
    <t>Rodgers</t>
  </si>
  <si>
    <t>Burrows</t>
  </si>
  <si>
    <t>Roach</t>
  </si>
  <si>
    <t>Howard</t>
  </si>
  <si>
    <t>Giscombe</t>
  </si>
  <si>
    <t>Black</t>
  </si>
  <si>
    <t>Carter</t>
  </si>
  <si>
    <t>Denesha</t>
  </si>
  <si>
    <t>Stevens</t>
  </si>
  <si>
    <t>Gatewood</t>
  </si>
  <si>
    <t>Berryman</t>
  </si>
  <si>
    <t>Harville</t>
  </si>
  <si>
    <t>McClellan</t>
  </si>
  <si>
    <t>Phillips</t>
  </si>
  <si>
    <t>Liverpool</t>
  </si>
  <si>
    <t>Miles</t>
  </si>
  <si>
    <t>Browne</t>
  </si>
  <si>
    <t>Acosta-Anderson</t>
  </si>
  <si>
    <t>Viala</t>
  </si>
  <si>
    <t>Davis</t>
  </si>
  <si>
    <t>Greene</t>
  </si>
  <si>
    <t>Sealy</t>
  </si>
  <si>
    <t>McGirt</t>
  </si>
  <si>
    <t>Virgo</t>
  </si>
  <si>
    <t>Pressley</t>
  </si>
  <si>
    <t>Kimble</t>
  </si>
  <si>
    <t>Cooper</t>
  </si>
  <si>
    <t>Brewer</t>
  </si>
  <si>
    <t>Blake</t>
  </si>
  <si>
    <t>Green</t>
  </si>
  <si>
    <t>Gordon</t>
  </si>
  <si>
    <t>Haynes</t>
  </si>
  <si>
    <t>Robinson</t>
  </si>
  <si>
    <t>Moore</t>
  </si>
  <si>
    <t>Prescod</t>
  </si>
  <si>
    <t>Rander</t>
  </si>
  <si>
    <t>Hunte</t>
  </si>
  <si>
    <t>Osias</t>
  </si>
  <si>
    <t>Kerina</t>
  </si>
  <si>
    <t>Folk</t>
  </si>
  <si>
    <t>Johnson</t>
  </si>
  <si>
    <t>Farnum</t>
  </si>
  <si>
    <t>Hamlin-McLeod</t>
  </si>
  <si>
    <t>St. Louis</t>
  </si>
  <si>
    <t>Chea</t>
  </si>
  <si>
    <t>Tomlinson</t>
  </si>
  <si>
    <t>Hernandez</t>
  </si>
  <si>
    <t>Tyndall</t>
  </si>
  <si>
    <t>Walters-Smith</t>
  </si>
  <si>
    <t>Ramsey-Francois</t>
  </si>
  <si>
    <t>Willis</t>
  </si>
  <si>
    <t>Sullivan</t>
  </si>
  <si>
    <t>Odemene</t>
  </si>
  <si>
    <t>Patterson</t>
  </si>
  <si>
    <t>Kennedy</t>
  </si>
  <si>
    <t>Williams</t>
  </si>
  <si>
    <t>Hayward</t>
  </si>
  <si>
    <t>Stephens</t>
  </si>
  <si>
    <t>Cockfield</t>
  </si>
  <si>
    <t>Singleton</t>
  </si>
  <si>
    <t>Morgan</t>
  </si>
  <si>
    <t>Abernethy</t>
  </si>
  <si>
    <t>Jarvis</t>
  </si>
  <si>
    <t>Kamalu</t>
  </si>
  <si>
    <t>Hall</t>
  </si>
  <si>
    <t>Crump</t>
  </si>
  <si>
    <t>Moise</t>
  </si>
  <si>
    <t>Campbell</t>
  </si>
  <si>
    <t>Bullock</t>
  </si>
  <si>
    <t>Glover</t>
  </si>
  <si>
    <t>Reid</t>
  </si>
  <si>
    <t>Favours</t>
  </si>
  <si>
    <t>Noble</t>
  </si>
  <si>
    <t>Laing</t>
  </si>
  <si>
    <t>Roberts</t>
  </si>
  <si>
    <t>Gooding</t>
  </si>
  <si>
    <t>Smith</t>
  </si>
  <si>
    <t>Gouin</t>
  </si>
  <si>
    <t>Gai-Baldeh</t>
  </si>
  <si>
    <t>Cooley</t>
  </si>
  <si>
    <t>Luxama</t>
  </si>
  <si>
    <t>Brioche</t>
  </si>
  <si>
    <t>Stephenson</t>
  </si>
  <si>
    <t>Carrington</t>
  </si>
  <si>
    <t>Hamilton Ford</t>
  </si>
  <si>
    <t>Bacon</t>
  </si>
  <si>
    <t>Downing</t>
  </si>
  <si>
    <t>Danforth</t>
  </si>
  <si>
    <t>Elliott</t>
  </si>
  <si>
    <t>Sheard</t>
  </si>
  <si>
    <t>Deas</t>
  </si>
  <si>
    <t>Chester</t>
  </si>
  <si>
    <t>Prophete</t>
  </si>
  <si>
    <t>Watson</t>
  </si>
  <si>
    <t>Julien</t>
  </si>
  <si>
    <t>Miller</t>
  </si>
  <si>
    <t>Richardson</t>
  </si>
  <si>
    <t>Taylor</t>
  </si>
  <si>
    <t>Cisse</t>
  </si>
  <si>
    <t>McKanic</t>
  </si>
  <si>
    <t>White</t>
  </si>
  <si>
    <t>Corte-Gray</t>
  </si>
  <si>
    <t>Jervis</t>
  </si>
  <si>
    <t>Grandison</t>
  </si>
  <si>
    <t>Meighan</t>
  </si>
  <si>
    <t>Walther</t>
  </si>
  <si>
    <t>McAllister</t>
  </si>
  <si>
    <t>Cooleman</t>
  </si>
  <si>
    <t>Moody Etchison</t>
  </si>
  <si>
    <t>Wright</t>
  </si>
  <si>
    <t>Belgrave</t>
  </si>
  <si>
    <t>Little</t>
  </si>
  <si>
    <t>Blackburn</t>
  </si>
  <si>
    <t>Southwell</t>
  </si>
  <si>
    <t>Strong</t>
  </si>
  <si>
    <t>Commodore</t>
  </si>
  <si>
    <t>Small</t>
  </si>
  <si>
    <t>Saint-Jean</t>
  </si>
  <si>
    <t>Henriquez</t>
  </si>
  <si>
    <t>Segui</t>
  </si>
  <si>
    <t>Hariston</t>
  </si>
  <si>
    <t>Ford</t>
  </si>
  <si>
    <t>Cumberbatch</t>
  </si>
  <si>
    <t>Valentine</t>
  </si>
  <si>
    <t>Olagunju</t>
  </si>
  <si>
    <t>Bermudez</t>
  </si>
  <si>
    <t>Rhoden</t>
  </si>
  <si>
    <t>Sertima</t>
  </si>
  <si>
    <t>Coleman</t>
  </si>
  <si>
    <t>Hardy</t>
  </si>
  <si>
    <t>Duncan</t>
  </si>
  <si>
    <t>Ferreira</t>
  </si>
  <si>
    <t>Benedith</t>
  </si>
  <si>
    <t>Bramble</t>
  </si>
  <si>
    <t>Dominguez</t>
  </si>
  <si>
    <t>Sevorwell</t>
  </si>
  <si>
    <t>Acosta-Aquino</t>
  </si>
  <si>
    <t>Ramirez</t>
  </si>
  <si>
    <t>Rodriguez</t>
  </si>
  <si>
    <t>Merino</t>
  </si>
  <si>
    <t>Bruno</t>
  </si>
  <si>
    <t>Marks</t>
  </si>
  <si>
    <t>Rosario</t>
  </si>
  <si>
    <t>Jerel-Best</t>
  </si>
  <si>
    <t>Champion</t>
  </si>
  <si>
    <t>Patino</t>
  </si>
  <si>
    <t>Persad</t>
  </si>
  <si>
    <t>Merizalde</t>
  </si>
  <si>
    <t>Houchen</t>
  </si>
  <si>
    <t>Roman Ramsay</t>
  </si>
  <si>
    <t>Reyes</t>
  </si>
  <si>
    <t>Paris</t>
  </si>
  <si>
    <t>Lendor</t>
  </si>
  <si>
    <t>Solano</t>
  </si>
  <si>
    <t>Monroe</t>
  </si>
  <si>
    <t>Salazar</t>
  </si>
  <si>
    <t>Allison</t>
  </si>
  <si>
    <t>Calvanico</t>
  </si>
  <si>
    <t>Michalopoulos</t>
  </si>
  <si>
    <t>Archibald</t>
  </si>
  <si>
    <t>Samuels</t>
  </si>
  <si>
    <t>Negron</t>
  </si>
  <si>
    <t>Marcano</t>
  </si>
  <si>
    <t>Rivera</t>
  </si>
  <si>
    <t>Beache</t>
  </si>
  <si>
    <t>Paniagua</t>
  </si>
  <si>
    <t>Velazquez</t>
  </si>
  <si>
    <t>Battle</t>
  </si>
  <si>
    <t>Cortes-Goolcharran</t>
  </si>
  <si>
    <t>Islam</t>
  </si>
  <si>
    <t>Urquizo</t>
  </si>
  <si>
    <t>Vazquez</t>
  </si>
  <si>
    <t>Caceres</t>
  </si>
  <si>
    <t>Heinz</t>
  </si>
  <si>
    <t>Lopez</t>
  </si>
  <si>
    <t>Osorio</t>
  </si>
  <si>
    <t>Martinez</t>
  </si>
  <si>
    <t>Vasquez</t>
  </si>
  <si>
    <t>Caban</t>
  </si>
  <si>
    <t>Kirton</t>
  </si>
  <si>
    <t>Nerey</t>
  </si>
  <si>
    <t>Mejia</t>
  </si>
  <si>
    <t>Espinoza</t>
  </si>
  <si>
    <t>Alvarez</t>
  </si>
  <si>
    <t>Guzman</t>
  </si>
  <si>
    <t>Mercado</t>
  </si>
  <si>
    <t>Soler</t>
  </si>
  <si>
    <t>Watkins</t>
  </si>
  <si>
    <t>Toapanta</t>
  </si>
  <si>
    <t>Diaz</t>
  </si>
  <si>
    <t>Elsendiouny</t>
  </si>
  <si>
    <t>Hasan</t>
  </si>
  <si>
    <t>Barillas</t>
  </si>
  <si>
    <t>Munoz</t>
  </si>
  <si>
    <t>Arcila</t>
  </si>
  <si>
    <t>Vargas</t>
  </si>
  <si>
    <t>Mercedes</t>
  </si>
  <si>
    <t>Chavez</t>
  </si>
  <si>
    <t>Durjan</t>
  </si>
  <si>
    <t>Mangar</t>
  </si>
  <si>
    <t>Torres</t>
  </si>
  <si>
    <t>Punwasi</t>
  </si>
  <si>
    <t>Bereguete</t>
  </si>
  <si>
    <t>Garcia</t>
  </si>
  <si>
    <t>Jaquez</t>
  </si>
  <si>
    <t>Benabe</t>
  </si>
  <si>
    <t>Lorenzi</t>
  </si>
  <si>
    <t>Cherns</t>
  </si>
  <si>
    <t>Ramos</t>
  </si>
  <si>
    <t>Phipps</t>
  </si>
  <si>
    <t>Soliman</t>
  </si>
  <si>
    <t>Archer</t>
  </si>
  <si>
    <t>Woolward</t>
  </si>
  <si>
    <t>Bodden</t>
  </si>
  <si>
    <t>Wilkinson</t>
  </si>
  <si>
    <t>Lemus</t>
  </si>
  <si>
    <t>Ballyram</t>
  </si>
  <si>
    <t>Luna</t>
  </si>
  <si>
    <t>Morell</t>
  </si>
  <si>
    <t>Nguyen</t>
  </si>
  <si>
    <t>Pena</t>
  </si>
  <si>
    <t>Moran</t>
  </si>
  <si>
    <t>Ceballo</t>
  </si>
  <si>
    <t>Pineda-Delgado</t>
  </si>
  <si>
    <t>Benton</t>
  </si>
  <si>
    <t>Cabezudo</t>
  </si>
  <si>
    <t>Dinanno</t>
  </si>
  <si>
    <t>Paltoo</t>
  </si>
  <si>
    <t>Morales</t>
  </si>
  <si>
    <t>Andrade</t>
  </si>
  <si>
    <t>Sanchez</t>
  </si>
  <si>
    <t>Flaquer</t>
  </si>
  <si>
    <t>Husain</t>
  </si>
  <si>
    <t>Vega</t>
  </si>
  <si>
    <t>De Leon</t>
  </si>
  <si>
    <t>De oleo</t>
  </si>
  <si>
    <t>Copes</t>
  </si>
  <si>
    <t>Murillo</t>
  </si>
  <si>
    <t>Radix</t>
  </si>
  <si>
    <t>Kapoustina</t>
  </si>
  <si>
    <t>Pascualini</t>
  </si>
  <si>
    <t>Giles</t>
  </si>
  <si>
    <t>Casimir</t>
  </si>
  <si>
    <t>Guaman</t>
  </si>
  <si>
    <t>Aobad</t>
  </si>
  <si>
    <t>Castillo</t>
  </si>
  <si>
    <t>Molini</t>
  </si>
  <si>
    <t>Jibodh</t>
  </si>
  <si>
    <t>Gibson</t>
  </si>
  <si>
    <t>Morton-George</t>
  </si>
  <si>
    <t>Gutierrez</t>
  </si>
  <si>
    <t>Gonzalez Martinez</t>
  </si>
  <si>
    <t>Vega Gonzalez</t>
  </si>
  <si>
    <t>Anariba</t>
  </si>
  <si>
    <t>Ghanny</t>
  </si>
  <si>
    <t>Mahadio</t>
  </si>
  <si>
    <t>Valenzuela</t>
  </si>
  <si>
    <t>Duran</t>
  </si>
  <si>
    <t>Wenz</t>
  </si>
  <si>
    <t>Badyna</t>
  </si>
  <si>
    <t>Caporusso</t>
  </si>
  <si>
    <t>Carlo</t>
  </si>
  <si>
    <t>Awad</t>
  </si>
  <si>
    <t>Ray-Torres</t>
  </si>
  <si>
    <t>Ferrara</t>
  </si>
  <si>
    <t>Monahan</t>
  </si>
  <si>
    <t>Agalio</t>
  </si>
  <si>
    <t>Gelnik</t>
  </si>
  <si>
    <t>Schlossman</t>
  </si>
  <si>
    <t>Isemowski</t>
  </si>
  <si>
    <t>DiMaio</t>
  </si>
  <si>
    <t>Grimes</t>
  </si>
  <si>
    <t>Sanoff</t>
  </si>
  <si>
    <t>Jankowski</t>
  </si>
  <si>
    <t>Devoll</t>
  </si>
  <si>
    <t>Antonellis</t>
  </si>
  <si>
    <t>Parrinello</t>
  </si>
  <si>
    <t>Giordano</t>
  </si>
  <si>
    <t>Frey</t>
  </si>
  <si>
    <t>DeStefano</t>
  </si>
  <si>
    <t>Rekoutis</t>
  </si>
  <si>
    <t>Corso</t>
  </si>
  <si>
    <t>Sajdak</t>
  </si>
  <si>
    <t>Creegan</t>
  </si>
  <si>
    <t>Klein</t>
  </si>
  <si>
    <t>Erenburg</t>
  </si>
  <si>
    <t>Gioia</t>
  </si>
  <si>
    <t>Buonamano</t>
  </si>
  <si>
    <t>LaGreca</t>
  </si>
  <si>
    <t>Gill</t>
  </si>
  <si>
    <t>Cirello</t>
  </si>
  <si>
    <t>Lombardo</t>
  </si>
  <si>
    <t>Karrin</t>
  </si>
  <si>
    <t>Marin</t>
  </si>
  <si>
    <t>Franzone</t>
  </si>
  <si>
    <t>Magrini</t>
  </si>
  <si>
    <t>Skouros</t>
  </si>
  <si>
    <t>Bongiorno</t>
  </si>
  <si>
    <t>Abbate</t>
  </si>
  <si>
    <t>Cardone</t>
  </si>
  <si>
    <t>Musumeci</t>
  </si>
  <si>
    <t>Siragusa</t>
  </si>
  <si>
    <t>Tell</t>
  </si>
  <si>
    <t>Severino</t>
  </si>
  <si>
    <t>Vulovich</t>
  </si>
  <si>
    <t>Arteca</t>
  </si>
  <si>
    <t>Poggioli</t>
  </si>
  <si>
    <t>Ida</t>
  </si>
  <si>
    <t>Cimine</t>
  </si>
  <si>
    <t>Pallotta</t>
  </si>
  <si>
    <t>Cohen</t>
  </si>
  <si>
    <t>Macpherson</t>
  </si>
  <si>
    <t>Konnaris</t>
  </si>
  <si>
    <t>Curreri</t>
  </si>
  <si>
    <t>Hook</t>
  </si>
  <si>
    <t>Haramis</t>
  </si>
  <si>
    <t>Pennacchio</t>
  </si>
  <si>
    <t>Troeller</t>
  </si>
  <si>
    <t>Safronova</t>
  </si>
  <si>
    <t>Kluska</t>
  </si>
  <si>
    <t>Urban</t>
  </si>
  <si>
    <t>Kljajic</t>
  </si>
  <si>
    <t>Khutoretsky</t>
  </si>
  <si>
    <t>Lester</t>
  </si>
  <si>
    <t>Tarniak</t>
  </si>
  <si>
    <t>Barbato</t>
  </si>
  <si>
    <t>Hilderbrandt</t>
  </si>
  <si>
    <t>Seggio</t>
  </si>
  <si>
    <t>Herbst</t>
  </si>
  <si>
    <t>Guarino</t>
  </si>
  <si>
    <t>Benevento</t>
  </si>
  <si>
    <t>Rizzi</t>
  </si>
  <si>
    <t>Adamo</t>
  </si>
  <si>
    <t>Maragni</t>
  </si>
  <si>
    <t>Fennell</t>
  </si>
  <si>
    <t>Mcelwee</t>
  </si>
  <si>
    <t>Cartier</t>
  </si>
  <si>
    <t>Collins</t>
  </si>
  <si>
    <t>Roussos</t>
  </si>
  <si>
    <t>Friedman</t>
  </si>
  <si>
    <t>08/29/2019</t>
  </si>
  <si>
    <t>07/15/2019</t>
  </si>
  <si>
    <t>10/01/2019</t>
  </si>
  <si>
    <t>11/14/2014</t>
  </si>
  <si>
    <t>11/29/2018</t>
  </si>
  <si>
    <t>07/06/2016</t>
  </si>
  <si>
    <t>03/06/2019</t>
  </si>
  <si>
    <t>09/01/2016</t>
  </si>
  <si>
    <t>12/07/2016</t>
  </si>
  <si>
    <t>05/05/2017</t>
  </si>
  <si>
    <t>10/29/2018</t>
  </si>
  <si>
    <t>07/11/2019</t>
  </si>
  <si>
    <t>09/20/2019</t>
  </si>
  <si>
    <t>10/07/2019</t>
  </si>
  <si>
    <t>10/09/2019</t>
  </si>
  <si>
    <t>10/17/2019</t>
  </si>
  <si>
    <t>10/21/2019</t>
  </si>
  <si>
    <t>10/22/2019</t>
  </si>
  <si>
    <t>11/12/2019</t>
  </si>
  <si>
    <t>12/20/2019</t>
  </si>
  <si>
    <t>08/28/2019</t>
  </si>
  <si>
    <t>04/30/2018</t>
  </si>
  <si>
    <t>08/22/2019</t>
  </si>
  <si>
    <t>09/05/2019</t>
  </si>
  <si>
    <t>09/12/2019</t>
  </si>
  <si>
    <t>09/27/2018</t>
  </si>
  <si>
    <t>02/27/2019</t>
  </si>
  <si>
    <t>07/17/2019</t>
  </si>
  <si>
    <t>07/22/2019</t>
  </si>
  <si>
    <t>07/26/2019</t>
  </si>
  <si>
    <t>08/08/2019</t>
  </si>
  <si>
    <t>08/21/2019</t>
  </si>
  <si>
    <t>03/07/2019</t>
  </si>
  <si>
    <t>03/12/2019</t>
  </si>
  <si>
    <t>04/15/2019</t>
  </si>
  <si>
    <t>09/17/2018</t>
  </si>
  <si>
    <t>09/06/2019</t>
  </si>
  <si>
    <t>10/31/2019</t>
  </si>
  <si>
    <t>07/12/2018</t>
  </si>
  <si>
    <t>05/30/2019</t>
  </si>
  <si>
    <t>02/28/2019</t>
  </si>
  <si>
    <t>05/02/2019</t>
  </si>
  <si>
    <t>10/25/2019</t>
  </si>
  <si>
    <t>10/10/2019</t>
  </si>
  <si>
    <t>10/18/2019</t>
  </si>
  <si>
    <t>07/10/2017</t>
  </si>
  <si>
    <t>06/20/2019</t>
  </si>
  <si>
    <t>05/04/2015</t>
  </si>
  <si>
    <t>11/13/2018</t>
  </si>
  <si>
    <t>11/13/2019</t>
  </si>
  <si>
    <t>07/18/2019</t>
  </si>
  <si>
    <t>09/15/2016</t>
  </si>
  <si>
    <t>10/29/2015</t>
  </si>
  <si>
    <t>08/30/2018</t>
  </si>
  <si>
    <t>05/11/2018</t>
  </si>
  <si>
    <t>11/06/2019</t>
  </si>
  <si>
    <t>11/22/2016</t>
  </si>
  <si>
    <t>10/19/2017</t>
  </si>
  <si>
    <t>11/02/2017</t>
  </si>
  <si>
    <t>10/24/2018</t>
  </si>
  <si>
    <t>11/27/2018</t>
  </si>
  <si>
    <t>12/21/2018</t>
  </si>
  <si>
    <t>01/11/2019</t>
  </si>
  <si>
    <t>01/31/2019</t>
  </si>
  <si>
    <t>04/10/2019</t>
  </si>
  <si>
    <t>06/28/2019</t>
  </si>
  <si>
    <t>08/03/2019</t>
  </si>
  <si>
    <t>08/14/2019</t>
  </si>
  <si>
    <t>10/04/2019</t>
  </si>
  <si>
    <t>11/01/2019</t>
  </si>
  <si>
    <t>11/15/2019</t>
  </si>
  <si>
    <t>08/04/2017</t>
  </si>
  <si>
    <t>04/13/2007</t>
  </si>
  <si>
    <t>06/30/2010</t>
  </si>
  <si>
    <t>08/11/2010</t>
  </si>
  <si>
    <t>10/10/2013</t>
  </si>
  <si>
    <t>10/11/2013</t>
  </si>
  <si>
    <t>10/30/2013</t>
  </si>
  <si>
    <t>06/12/2014</t>
  </si>
  <si>
    <t>06/30/2014</t>
  </si>
  <si>
    <t>08/18/2014</t>
  </si>
  <si>
    <t>11/21/2014</t>
  </si>
  <si>
    <t>12/04/2014</t>
  </si>
  <si>
    <t>12/15/2014</t>
  </si>
  <si>
    <t>01/21/2015</t>
  </si>
  <si>
    <t>03/23/2015</t>
  </si>
  <si>
    <t>04/17/2015</t>
  </si>
  <si>
    <t>05/08/2015</t>
  </si>
  <si>
    <t>06/10/2015</t>
  </si>
  <si>
    <t>06/25/2015</t>
  </si>
  <si>
    <t>07/06/2015</t>
  </si>
  <si>
    <t>07/16/2015</t>
  </si>
  <si>
    <t>10/01/2015</t>
  </si>
  <si>
    <t>12/17/2015</t>
  </si>
  <si>
    <t>01/08/2016</t>
  </si>
  <si>
    <t>01/28/2016</t>
  </si>
  <si>
    <t>02/25/2016</t>
  </si>
  <si>
    <t>03/04/2016</t>
  </si>
  <si>
    <t>03/15/2016</t>
  </si>
  <si>
    <t>04/02/2016</t>
  </si>
  <si>
    <t>04/15/2016</t>
  </si>
  <si>
    <t>06/14/2016</t>
  </si>
  <si>
    <t>06/17/2016</t>
  </si>
  <si>
    <t>06/30/2016</t>
  </si>
  <si>
    <t>07/22/2016</t>
  </si>
  <si>
    <t>08/19/2016</t>
  </si>
  <si>
    <t>09/29/2016</t>
  </si>
  <si>
    <t>03/20/2017</t>
  </si>
  <si>
    <t>03/24/2017</t>
  </si>
  <si>
    <t>03/28/2017</t>
  </si>
  <si>
    <t>06/09/2017</t>
  </si>
  <si>
    <t>08/14/2017</t>
  </si>
  <si>
    <t>08/24/2017</t>
  </si>
  <si>
    <t>10/25/2017</t>
  </si>
  <si>
    <t>10/26/2017</t>
  </si>
  <si>
    <t>11/28/2017</t>
  </si>
  <si>
    <t>11/30/2017</t>
  </si>
  <si>
    <t>12/21/2017</t>
  </si>
  <si>
    <t>12/26/2017</t>
  </si>
  <si>
    <t>01/11/2018</t>
  </si>
  <si>
    <t>02/01/2018</t>
  </si>
  <si>
    <t>02/14/2018</t>
  </si>
  <si>
    <t>02/20/2018</t>
  </si>
  <si>
    <t>02/22/2018</t>
  </si>
  <si>
    <t>03/05/2018</t>
  </si>
  <si>
    <t>03/20/2018</t>
  </si>
  <si>
    <t>04/05/2018</t>
  </si>
  <si>
    <t>04/11/2018</t>
  </si>
  <si>
    <t>05/10/2018</t>
  </si>
  <si>
    <t>05/21/2018</t>
  </si>
  <si>
    <t>05/30/2018</t>
  </si>
  <si>
    <t>05/31/2018</t>
  </si>
  <si>
    <t>06/13/2018</t>
  </si>
  <si>
    <t>06/21/2018</t>
  </si>
  <si>
    <t>07/02/2018</t>
  </si>
  <si>
    <t>07/30/2018</t>
  </si>
  <si>
    <t>08/01/2018</t>
  </si>
  <si>
    <t>08/21/2018</t>
  </si>
  <si>
    <t>08/24/2018</t>
  </si>
  <si>
    <t>10/16/2018</t>
  </si>
  <si>
    <t>10/25/2018</t>
  </si>
  <si>
    <t>10/30/2018</t>
  </si>
  <si>
    <t>11/05/2018</t>
  </si>
  <si>
    <t>11/08/2018</t>
  </si>
  <si>
    <t>11/19/2018</t>
  </si>
  <si>
    <t>11/26/2018</t>
  </si>
  <si>
    <t>12/11/2018</t>
  </si>
  <si>
    <t>12/18/2018</t>
  </si>
  <si>
    <t>12/24/2018</t>
  </si>
  <si>
    <t>12/28/2018</t>
  </si>
  <si>
    <t>01/02/2019</t>
  </si>
  <si>
    <t>01/08/2019</t>
  </si>
  <si>
    <t>01/17/2019</t>
  </si>
  <si>
    <t>01/22/2019</t>
  </si>
  <si>
    <t>01/24/2019</t>
  </si>
  <si>
    <t>01/30/2019</t>
  </si>
  <si>
    <t>02/04/2019</t>
  </si>
  <si>
    <t>02/05/2019</t>
  </si>
  <si>
    <t>02/07/2019</t>
  </si>
  <si>
    <t>02/08/2019</t>
  </si>
  <si>
    <t>02/11/2019</t>
  </si>
  <si>
    <t>02/14/2019</t>
  </si>
  <si>
    <t>02/20/2019</t>
  </si>
  <si>
    <t>03/05/2019</t>
  </si>
  <si>
    <t>03/14/2019</t>
  </si>
  <si>
    <t>03/18/2019</t>
  </si>
  <si>
    <t>03/22/2019</t>
  </si>
  <si>
    <t>03/25/2019</t>
  </si>
  <si>
    <t>03/27/2019</t>
  </si>
  <si>
    <t>04/22/2019</t>
  </si>
  <si>
    <t>04/26/2019</t>
  </si>
  <si>
    <t>05/01/2019</t>
  </si>
  <si>
    <t>05/09/2019</t>
  </si>
  <si>
    <t>05/28/2019</t>
  </si>
  <si>
    <t>05/29/2019</t>
  </si>
  <si>
    <t>05/31/2019</t>
  </si>
  <si>
    <t>06/12/2019</t>
  </si>
  <si>
    <t>06/13/2019</t>
  </si>
  <si>
    <t>06/19/2019</t>
  </si>
  <si>
    <t>06/21/2019</t>
  </si>
  <si>
    <t>06/27/2019</t>
  </si>
  <si>
    <t>06/30/2019</t>
  </si>
  <si>
    <t>07/01/2019</t>
  </si>
  <si>
    <t>07/12/2019</t>
  </si>
  <si>
    <t>07/25/2019</t>
  </si>
  <si>
    <t>07/30/2019</t>
  </si>
  <si>
    <t>08/01/2019</t>
  </si>
  <si>
    <t>08/05/2019</t>
  </si>
  <si>
    <t>08/16/2019</t>
  </si>
  <si>
    <t>08/26/2019</t>
  </si>
  <si>
    <t>08/27/2019</t>
  </si>
  <si>
    <t>08/30/2019</t>
  </si>
  <si>
    <t>09/03/2019</t>
  </si>
  <si>
    <t>09/04/2019</t>
  </si>
  <si>
    <t>09/11/2019</t>
  </si>
  <si>
    <t>09/30/2019</t>
  </si>
  <si>
    <t>10/02/2019</t>
  </si>
  <si>
    <t>10/03/2019</t>
  </si>
  <si>
    <t>10/08/2019</t>
  </si>
  <si>
    <t>10/11/2019</t>
  </si>
  <si>
    <t>10/12/2019</t>
  </si>
  <si>
    <t>10/15/2019</t>
  </si>
  <si>
    <t>10/16/2019</t>
  </si>
  <si>
    <t>10/28/2019</t>
  </si>
  <si>
    <t>10/30/2019</t>
  </si>
  <si>
    <t>11/04/2019</t>
  </si>
  <si>
    <t>11/07/2019</t>
  </si>
  <si>
    <t>11/08/2019</t>
  </si>
  <si>
    <t>11/14/2019</t>
  </si>
  <si>
    <t>11/18/2019</t>
  </si>
  <si>
    <t>11/21/2019</t>
  </si>
  <si>
    <t>11/25/2019</t>
  </si>
  <si>
    <t>11/26/2019</t>
  </si>
  <si>
    <t>12/02/2019</t>
  </si>
  <si>
    <t>12/06/2019</t>
  </si>
  <si>
    <t>12/10/2019</t>
  </si>
  <si>
    <t>12/12/2019</t>
  </si>
  <si>
    <t>12/13/2019</t>
  </si>
  <si>
    <t>12/19/2019</t>
  </si>
  <si>
    <t>02/19/2015</t>
  </si>
  <si>
    <t>06/25/2019</t>
  </si>
  <si>
    <t>05/06/2019</t>
  </si>
  <si>
    <t>08/15/2019</t>
  </si>
  <si>
    <t>09/19/2019</t>
  </si>
  <si>
    <t>03/21/2019</t>
  </si>
  <si>
    <t>08/07/2019</t>
  </si>
  <si>
    <t>09/24/2019</t>
  </si>
  <si>
    <t>07/20/2018</t>
  </si>
  <si>
    <t>06/06/2019</t>
  </si>
  <si>
    <t>10/29/2019</t>
  </si>
  <si>
    <t>04/09/2019</t>
  </si>
  <si>
    <t>01/16/2019</t>
  </si>
  <si>
    <t>04/16/2019</t>
  </si>
  <si>
    <t>06/25/2010</t>
  </si>
  <si>
    <t>01/30/2013</t>
  </si>
  <si>
    <t>05/07/2015</t>
  </si>
  <si>
    <t>07/02/2015</t>
  </si>
  <si>
    <t>09/03/2015</t>
  </si>
  <si>
    <t>01/07/2016</t>
  </si>
  <si>
    <t>03/17/2016</t>
  </si>
  <si>
    <t>03/31/2016</t>
  </si>
  <si>
    <t>07/29/2016</t>
  </si>
  <si>
    <t>08/23/2016</t>
  </si>
  <si>
    <t>10/03/2016</t>
  </si>
  <si>
    <t>04/27/2017</t>
  </si>
  <si>
    <t>06/12/2017</t>
  </si>
  <si>
    <t>07/07/2017</t>
  </si>
  <si>
    <t>07/17/2017</t>
  </si>
  <si>
    <t>07/24/2017</t>
  </si>
  <si>
    <t>08/11/2017</t>
  </si>
  <si>
    <t>09/21/2017</t>
  </si>
  <si>
    <t>10/12/2017</t>
  </si>
  <si>
    <t>12/01/2017</t>
  </si>
  <si>
    <t>01/19/2018</t>
  </si>
  <si>
    <t>02/27/2018</t>
  </si>
  <si>
    <t>08/29/2018</t>
  </si>
  <si>
    <t>08/31/2018</t>
  </si>
  <si>
    <t>09/04/2018</t>
  </si>
  <si>
    <t>09/18/2018</t>
  </si>
  <si>
    <t>10/19/2018</t>
  </si>
  <si>
    <t>11/01/2018</t>
  </si>
  <si>
    <t>12/05/2018</t>
  </si>
  <si>
    <t>12/13/2018</t>
  </si>
  <si>
    <t>12/17/2018</t>
  </si>
  <si>
    <t>12/20/2018</t>
  </si>
  <si>
    <t>01/03/2019</t>
  </si>
  <si>
    <t>01/25/2019</t>
  </si>
  <si>
    <t>02/06/2019</t>
  </si>
  <si>
    <t>02/21/2019</t>
  </si>
  <si>
    <t>02/22/2019</t>
  </si>
  <si>
    <t>03/04/2019</t>
  </si>
  <si>
    <t>03/15/2019</t>
  </si>
  <si>
    <t>03/20/2019</t>
  </si>
  <si>
    <t>03/29/2019</t>
  </si>
  <si>
    <t>04/01/2019</t>
  </si>
  <si>
    <t>04/08/2019</t>
  </si>
  <si>
    <t>04/25/2019</t>
  </si>
  <si>
    <t>05/21/2019</t>
  </si>
  <si>
    <t>07/08/2019</t>
  </si>
  <si>
    <t>07/10/2019</t>
  </si>
  <si>
    <t>07/19/2019</t>
  </si>
  <si>
    <t>08/06/2019</t>
  </si>
  <si>
    <t>08/12/2019</t>
  </si>
  <si>
    <t>09/09/2019</t>
  </si>
  <si>
    <t>09/13/2019</t>
  </si>
  <si>
    <t>09/17/2019</t>
  </si>
  <si>
    <t>09/26/2019</t>
  </si>
  <si>
    <t>10/24/2019</t>
  </si>
  <si>
    <t>11/20/2019</t>
  </si>
  <si>
    <t>12/05/2019</t>
  </si>
  <si>
    <t>04/26/2018</t>
  </si>
  <si>
    <t>05/02/2017</t>
  </si>
  <si>
    <t>03/26/2018</t>
  </si>
  <si>
    <t>08/02/2018</t>
  </si>
  <si>
    <t>03/08/2019</t>
  </si>
  <si>
    <t>04/23/2019</t>
  </si>
  <si>
    <t>05/08/2019</t>
  </si>
  <si>
    <t>09/25/2019</t>
  </si>
  <si>
    <t>10/02/2018</t>
  </si>
  <si>
    <t>01/07/2019</t>
  </si>
  <si>
    <t>03/27/2017</t>
  </si>
  <si>
    <t>05/16/2019</t>
  </si>
  <si>
    <t>05/23/2019</t>
  </si>
  <si>
    <t>08/13/2019</t>
  </si>
  <si>
    <t>09/26/2012</t>
  </si>
  <si>
    <t>05/14/2014</t>
  </si>
  <si>
    <t>04/18/2016</t>
  </si>
  <si>
    <t>10/21/2016</t>
  </si>
  <si>
    <t>11/10/2016</t>
  </si>
  <si>
    <t>02/21/2017</t>
  </si>
  <si>
    <t>03/02/2017</t>
  </si>
  <si>
    <t>07/05/2017</t>
  </si>
  <si>
    <t>07/19/2017</t>
  </si>
  <si>
    <t>09/05/2017</t>
  </si>
  <si>
    <t>10/30/2017</t>
  </si>
  <si>
    <t>02/06/2018</t>
  </si>
  <si>
    <t>03/19/2018</t>
  </si>
  <si>
    <t>07/16/2018</t>
  </si>
  <si>
    <t>07/24/2018</t>
  </si>
  <si>
    <t>07/27/2018</t>
  </si>
  <si>
    <t>08/07/2018</t>
  </si>
  <si>
    <t>08/14/2018</t>
  </si>
  <si>
    <t>08/17/2018</t>
  </si>
  <si>
    <t>09/24/2018</t>
  </si>
  <si>
    <t>10/04/2018</t>
  </si>
  <si>
    <t>12/12/2018</t>
  </si>
  <si>
    <t>12/31/2018</t>
  </si>
  <si>
    <t>01/23/2019</t>
  </si>
  <si>
    <t>03/26/2019</t>
  </si>
  <si>
    <t>04/18/2019</t>
  </si>
  <si>
    <t>05/17/2019</t>
  </si>
  <si>
    <t>05/24/2019</t>
  </si>
  <si>
    <t>06/18/2019</t>
  </si>
  <si>
    <t>07/29/2019</t>
  </si>
  <si>
    <t>07/31/2019</t>
  </si>
  <si>
    <t>08/09/2019</t>
  </si>
  <si>
    <t>08/19/2019</t>
  </si>
  <si>
    <t>10/23/2019</t>
  </si>
  <si>
    <t>11/19/2019</t>
  </si>
  <si>
    <t>12/03/2019</t>
  </si>
  <si>
    <t>12/04/2019</t>
  </si>
  <si>
    <t>12/24/2019</t>
  </si>
  <si>
    <t>07/11/2017</t>
  </si>
  <si>
    <t>12/17/2019</t>
  </si>
  <si>
    <t>01/24/2018</t>
  </si>
  <si>
    <t>12/27/2019</t>
  </si>
  <si>
    <t>12/18/2019</t>
  </si>
  <si>
    <t>12/26/2019</t>
  </si>
  <si>
    <t>12/23/2019</t>
  </si>
  <si>
    <t>06/03/2019</t>
  </si>
  <si>
    <t>12/09/2019</t>
  </si>
  <si>
    <t>12/11/2019</t>
  </si>
  <si>
    <t>12/16/2019</t>
  </si>
  <si>
    <t>12/30/2019</t>
  </si>
  <si>
    <t>01/29/2019</t>
  </si>
  <si>
    <t>04/18/2018</t>
  </si>
  <si>
    <t>02/13/2019</t>
  </si>
  <si>
    <t>01/10/2019</t>
  </si>
  <si>
    <t>06/07/2019</t>
  </si>
  <si>
    <t>No Mortgage</t>
  </si>
  <si>
    <t>Selene Finance</t>
  </si>
  <si>
    <t>Bayview</t>
  </si>
  <si>
    <t>CitiMortgage</t>
  </si>
  <si>
    <t>Abacus Federal Savings Bank</t>
  </si>
  <si>
    <t>Ocwen Loan Servicing</t>
  </si>
  <si>
    <t>FCI Lender Services, Inc</t>
  </si>
  <si>
    <t>Select Portfolio Servicing, Inc.</t>
  </si>
  <si>
    <t>Bank of America</t>
  </si>
  <si>
    <t>Mr. Cooper</t>
  </si>
  <si>
    <t>Washington Mutual</t>
  </si>
  <si>
    <t>Ditech.com</t>
  </si>
  <si>
    <t>Bank of America Home Loans Servicing</t>
  </si>
  <si>
    <t>PHH Mortgage Corporation</t>
  </si>
  <si>
    <t>Gregory Funding, LLC</t>
  </si>
  <si>
    <t>M&amp;T Bank</t>
  </si>
  <si>
    <t>Caliber Home Loans</t>
  </si>
  <si>
    <t>Green Tree</t>
  </si>
  <si>
    <t>Ocwen</t>
  </si>
  <si>
    <t>Rushmore Loan Management Services</t>
  </si>
  <si>
    <t>Cenlar FSB</t>
  </si>
  <si>
    <t>Loan Care</t>
  </si>
  <si>
    <t>Nationstar Mortgage</t>
  </si>
  <si>
    <t>Seterus, Inc.</t>
  </si>
  <si>
    <t>Fay Servicing</t>
  </si>
  <si>
    <t>Finance of America Reverse, LLC</t>
  </si>
  <si>
    <t>Quicken Loans Inc</t>
  </si>
  <si>
    <t>Roundpoint Mortgage Servicing Corporation</t>
  </si>
  <si>
    <t>CMG Mortgage Inc.</t>
  </si>
  <si>
    <t>Shellpoint Mortgage Servicing</t>
  </si>
  <si>
    <t>Novad Management Consulting</t>
  </si>
  <si>
    <t>Carver Federal Savings Bank</t>
  </si>
  <si>
    <t>HSBC</t>
  </si>
  <si>
    <t>Chase</t>
  </si>
  <si>
    <t>Carrington Mortgage Services</t>
  </si>
  <si>
    <t>Reverse Mortgage Funding</t>
  </si>
  <si>
    <t>Citibank</t>
  </si>
  <si>
    <t>Financial Freedom</t>
  </si>
  <si>
    <t>Wilmington Trust, National Association</t>
  </si>
  <si>
    <t>US Bank</t>
  </si>
  <si>
    <t>Wells Fargo</t>
  </si>
  <si>
    <t>American Service Company</t>
  </si>
  <si>
    <t>Wells Fargo Bank, NA</t>
  </si>
  <si>
    <t>Stae of New York Mortgage</t>
  </si>
  <si>
    <t>Emigrant Mortgage Co.</t>
  </si>
  <si>
    <t>SunTrust Mortgage</t>
  </si>
  <si>
    <t>Freedom Mortgage Corporation</t>
  </si>
  <si>
    <t>Sun West Mortgage Co.</t>
  </si>
  <si>
    <t>Rushmore Capital Partners</t>
  </si>
  <si>
    <t>MGC Mortgage, Inc.</t>
  </si>
  <si>
    <t>21st Mortgage Corporation</t>
  </si>
  <si>
    <t>Wells Fargo Home Mortgage, Inc.</t>
  </si>
  <si>
    <t>Spring Homes, LLC</t>
  </si>
  <si>
    <t>America’s Servicing Company</t>
  </si>
  <si>
    <t>Reverse Mortgage Solutions, Inc.</t>
  </si>
  <si>
    <t>Advanced Financial Services, Inc.</t>
  </si>
  <si>
    <t>Seneca Mortgage Servicing LLC</t>
  </si>
  <si>
    <t>JP Morgan Chase Bank NA</t>
  </si>
  <si>
    <t>Unknown</t>
  </si>
  <si>
    <t>First Bank</t>
  </si>
  <si>
    <t>Vanderbilt Mortgage</t>
  </si>
  <si>
    <t>Gregory Funding</t>
  </si>
  <si>
    <t>The Money Source</t>
  </si>
  <si>
    <t>US Bank National Association</t>
  </si>
  <si>
    <t>Nation Star</t>
  </si>
  <si>
    <t>Specialized Loan Servicing</t>
  </si>
  <si>
    <t>Live Well Financial</t>
  </si>
  <si>
    <t>ChaseHome Finance LLC</t>
  </si>
  <si>
    <t>Statebridge</t>
  </si>
  <si>
    <t>Select Loan Servicing</t>
  </si>
  <si>
    <t>Temple-Inland Mortgage Corp.</t>
  </si>
  <si>
    <t>SN Servicing</t>
  </si>
  <si>
    <t>MidFirst Bank</t>
  </si>
  <si>
    <t>Midland</t>
  </si>
  <si>
    <t>Banco Popular</t>
  </si>
  <si>
    <t>Sterling National Mortgage Inc.</t>
  </si>
  <si>
    <t>Champion Mortgage</t>
  </si>
  <si>
    <t>Federal Savings Bank</t>
  </si>
  <si>
    <t>Selene RMOF REO Acquisition LLP</t>
  </si>
  <si>
    <t>HSBC Bank</t>
  </si>
  <si>
    <t>Celink</t>
  </si>
  <si>
    <t>DLJ Mortgage Capital</t>
  </si>
  <si>
    <t>Fannie Mae</t>
  </si>
  <si>
    <t>Reverse Mortgage</t>
  </si>
  <si>
    <t>Finance America</t>
  </si>
  <si>
    <t>Franklin Credit Management</t>
  </si>
  <si>
    <t>Central Mortgage Co.</t>
  </si>
  <si>
    <t>Planet Home Lending, LLC</t>
  </si>
  <si>
    <t>US Bank as Trustee</t>
  </si>
  <si>
    <t>Santander Bank</t>
  </si>
  <si>
    <t>Aurora Bank FSB</t>
  </si>
  <si>
    <t>OneWest</t>
  </si>
  <si>
    <t>PNC Bank</t>
  </si>
  <si>
    <t>Money Source, Inc</t>
  </si>
  <si>
    <t>MERS</t>
  </si>
  <si>
    <t>RMS</t>
  </si>
  <si>
    <t>Generation Mortgage Co.</t>
  </si>
  <si>
    <t>Bank United</t>
  </si>
  <si>
    <t>IndyMac</t>
  </si>
  <si>
    <t>Regions Bank</t>
  </si>
  <si>
    <t>Kondaur Capital Corporation</t>
  </si>
  <si>
    <t>Coastal Capital</t>
  </si>
  <si>
    <t>Private</t>
  </si>
  <si>
    <t>Avelina Mansilla</t>
  </si>
  <si>
    <t>IndyMac Bank, F.S.B.</t>
  </si>
  <si>
    <t>BSI Financial Services</t>
  </si>
  <si>
    <t>Asian or Pacific Islander</t>
  </si>
  <si>
    <t>Black/African American/African Descent</t>
  </si>
  <si>
    <t>Other</t>
  </si>
  <si>
    <t>White (Not Hispanic)</t>
  </si>
  <si>
    <t>Condo</t>
  </si>
  <si>
    <t>1 Unit</t>
  </si>
  <si>
    <t>2 Units</t>
  </si>
  <si>
    <t>3 Units</t>
  </si>
  <si>
    <t>Coop</t>
  </si>
  <si>
    <t>4 Units</t>
  </si>
  <si>
    <t>Bronx</t>
  </si>
  <si>
    <t>Queens</t>
  </si>
  <si>
    <t>Kings</t>
  </si>
  <si>
    <t>Richmond</t>
  </si>
  <si>
    <t>New York</t>
  </si>
  <si>
    <t>New Haven</t>
  </si>
  <si>
    <t>NJ</t>
  </si>
  <si>
    <t>Increased/Unexpected Medical Expenses/Issues</t>
  </si>
  <si>
    <t>Loss of income from Death in Family/Borrower</t>
  </si>
  <si>
    <t>Loss of Income from under/unemployment</t>
  </si>
  <si>
    <t>Loss of income from Business Failure</t>
  </si>
  <si>
    <t>High Non-mortgage debt</t>
  </si>
  <si>
    <t>Mortgage Payment Increase</t>
  </si>
  <si>
    <t>Marital/Relationship Dispute</t>
  </si>
  <si>
    <t>Loan Unaffordable from Origination</t>
  </si>
  <si>
    <t>Servicing Problem/Payment Dispute</t>
  </si>
  <si>
    <t>Casualty/property insurance problems</t>
  </si>
  <si>
    <t>Scam/Deed Theft</t>
  </si>
  <si>
    <t>Non-Payment of Rental/Inability to Rent</t>
  </si>
  <si>
    <t>Property/Tax Delinquency</t>
  </si>
  <si>
    <t>Scam/Other</t>
  </si>
  <si>
    <t>Transfer of Ownership/Fraud</t>
  </si>
  <si>
    <t>Scam/Foreclosure Prevention</t>
  </si>
  <si>
    <t>Increased/unexpected Energy and Utility payments</t>
  </si>
  <si>
    <t>Sandy Related Property Damage/Income Loss</t>
  </si>
  <si>
    <t>Advice and Counsel</t>
  </si>
  <si>
    <t>Submission of Loan Modification Request</t>
  </si>
  <si>
    <t>Assisted with Pro Se Representation</t>
  </si>
  <si>
    <t>Provided Representation at Settlement Conference</t>
  </si>
  <si>
    <t>Non-Litigation Advocacy</t>
  </si>
  <si>
    <t>Investigation and Advice and Counsel</t>
  </si>
  <si>
    <t>Referral to Legal Service</t>
  </si>
  <si>
    <t>Post modification counseling</t>
  </si>
  <si>
    <t>Litigation</t>
  </si>
  <si>
    <t>Complex or Multiparty Litigation</t>
  </si>
  <si>
    <t>Referral to Pro Bono Counsel</t>
  </si>
  <si>
    <t>Post re-default counseling</t>
  </si>
  <si>
    <t>Assisted with Non-Mortgage Related Matters</t>
  </si>
  <si>
    <t>Assisted with tax lien issue</t>
  </si>
  <si>
    <t>Referral to RE Broker</t>
  </si>
  <si>
    <t>Shadow Docket SC Representation</t>
  </si>
  <si>
    <t>Assisted with or Represented in Bankruptcy</t>
  </si>
  <si>
    <t>Referred to Social Service or Emergency Assistance Agency</t>
  </si>
  <si>
    <t>Representation in Good Faith Proceeding</t>
  </si>
  <si>
    <t>Referral to Housing Counseling</t>
  </si>
  <si>
    <t>Final Modification Offer Received And Accepted By Client</t>
  </si>
  <si>
    <t>Trial Modification Offer Received And Accepted By Client</t>
  </si>
  <si>
    <t>Client Did Not Qualify For Modification</t>
  </si>
  <si>
    <t>Modification Offer Rejected By Client</t>
  </si>
  <si>
    <t>Modification Request Re-Submitted and Pending</t>
  </si>
  <si>
    <t>Client Failed Trial Modification Period</t>
  </si>
  <si>
    <t>Lender/Servicer Requested Addition Documents</t>
  </si>
  <si>
    <t>Initial Modification Request Pending</t>
  </si>
  <si>
    <t>Advised Client Of Rights And Options</t>
  </si>
  <si>
    <t>Mortgage Modified - HAMP</t>
  </si>
  <si>
    <t>Mortgage Modified - In House</t>
  </si>
  <si>
    <t>Extended homeowner or tenant’s tenure in property</t>
  </si>
  <si>
    <t>Averted Default Judgment</t>
  </si>
  <si>
    <t>Filed Complaint with Government Enforcement Agency</t>
  </si>
  <si>
    <t>Secured Charitable Grant or Services For Client</t>
  </si>
  <si>
    <t>Homeownership preserved through other intervention</t>
  </si>
  <si>
    <t>Preserved Homeownership through Other Intervention</t>
  </si>
  <si>
    <t>Referral</t>
  </si>
  <si>
    <t>Bankruptcy/Obtained Federal Bankruptcy Protection</t>
  </si>
  <si>
    <t>Foreclosure Dismissed</t>
  </si>
  <si>
    <t>Brought Mortgage Current</t>
  </si>
  <si>
    <t>Case Settled in Settlement Conference</t>
  </si>
  <si>
    <t>Obtained Injunction</t>
  </si>
  <si>
    <t>Resolved non-mortgage lien</t>
  </si>
  <si>
    <t>Obtained clear title to property</t>
  </si>
  <si>
    <t>Stop Sale/Vacate Judgment of Foreclosure and Sale</t>
  </si>
  <si>
    <t>Obtained pro bono counsel</t>
  </si>
  <si>
    <t>Client Outcome Unknown</t>
  </si>
  <si>
    <t>Withdrew from counseling</t>
  </si>
  <si>
    <t>Reduced Fees or Charges/Obtained QWR response</t>
  </si>
  <si>
    <t>Referred to legal services</t>
  </si>
  <si>
    <t>Short Sale</t>
  </si>
  <si>
    <t>Satisfied Mortgage</t>
  </si>
  <si>
    <t>Obtained or Restored Settlement Conference</t>
  </si>
  <si>
    <t>Mortgage foreclosed</t>
  </si>
  <si>
    <t>Resolved non-mortgage lien issue</t>
  </si>
  <si>
    <t>Homeowner Obtained Private Loan/Grant Funds</t>
  </si>
  <si>
    <t>56,997.99</t>
  </si>
  <si>
    <t>20,000</t>
  </si>
  <si>
    <t>1,978.46</t>
  </si>
  <si>
    <t>$100/month</t>
  </si>
  <si>
    <t>$60,486.69</t>
  </si>
  <si>
    <t>43,198.02</t>
  </si>
  <si>
    <t>60,684.11</t>
  </si>
  <si>
    <t>46,634.17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</si>
</sst>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578"/>
  <sheetViews>
    <sheetView tabSelected="1" workbookViewId="0"/>
  </sheetViews>
  <sheetFormatPr defaultRowHeight="15"/>
  <cols>
    <col min="1" max="1" width="20.7109375" style="1" customWidth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>
      <c r="A2" s="1">
        <f>HYPERLINK("https://lsnyc.legalserver.org/matter/dynamic-profile/view/1908483","19-1908483")</f>
        <v>0</v>
      </c>
      <c r="B2" t="s">
        <v>35</v>
      </c>
      <c r="C2" t="s">
        <v>39</v>
      </c>
      <c r="D2" t="s">
        <v>66</v>
      </c>
      <c r="E2" t="s">
        <v>507</v>
      </c>
      <c r="F2">
        <v>2094</v>
      </c>
      <c r="G2" t="s">
        <v>970</v>
      </c>
      <c r="H2" t="s">
        <v>1186</v>
      </c>
      <c r="I2" t="s">
        <v>1329</v>
      </c>
      <c r="K2" t="s">
        <v>1435</v>
      </c>
      <c r="L2">
        <v>2</v>
      </c>
      <c r="M2">
        <v>0</v>
      </c>
      <c r="N2">
        <v>1</v>
      </c>
      <c r="O2" t="s">
        <v>1439</v>
      </c>
      <c r="P2">
        <v>29004</v>
      </c>
      <c r="Q2">
        <v>10462</v>
      </c>
      <c r="R2" t="s">
        <v>1445</v>
      </c>
      <c r="S2" t="s">
        <v>1452</v>
      </c>
      <c r="U2" t="s">
        <v>1470</v>
      </c>
      <c r="V2" t="s">
        <v>1472</v>
      </c>
      <c r="Y2" t="s">
        <v>1498</v>
      </c>
      <c r="AC2">
        <v>0</v>
      </c>
      <c r="AD2">
        <v>0</v>
      </c>
      <c r="AF2">
        <v>0</v>
      </c>
      <c r="AG2">
        <v>0</v>
      </c>
      <c r="AH2">
        <v>0</v>
      </c>
      <c r="AI2">
        <v>0</v>
      </c>
    </row>
    <row r="3" spans="1:35">
      <c r="A3" s="1">
        <f>HYPERLINK("https://lsnyc.legalserver.org/matter/dynamic-profile/view/1904827","19-1904827")</f>
        <v>0</v>
      </c>
      <c r="B3" t="s">
        <v>36</v>
      </c>
      <c r="C3" t="s">
        <v>40</v>
      </c>
      <c r="D3" t="s">
        <v>67</v>
      </c>
      <c r="E3" t="s">
        <v>508</v>
      </c>
      <c r="F3">
        <v>2093</v>
      </c>
      <c r="G3" t="s">
        <v>971</v>
      </c>
      <c r="H3" t="s">
        <v>1184</v>
      </c>
      <c r="I3" t="s">
        <v>1330</v>
      </c>
      <c r="K3" t="s">
        <v>1435</v>
      </c>
      <c r="L3">
        <v>1</v>
      </c>
      <c r="M3">
        <v>0</v>
      </c>
      <c r="N3">
        <v>1</v>
      </c>
      <c r="O3" t="s">
        <v>1440</v>
      </c>
      <c r="P3">
        <v>67000</v>
      </c>
      <c r="Q3">
        <v>11434</v>
      </c>
      <c r="R3" t="s">
        <v>1446</v>
      </c>
      <c r="S3" t="s">
        <v>1453</v>
      </c>
      <c r="U3" t="s">
        <v>1470</v>
      </c>
      <c r="Y3" t="s">
        <v>1498</v>
      </c>
      <c r="AC3">
        <v>0</v>
      </c>
      <c r="AD3">
        <v>0</v>
      </c>
      <c r="AF3">
        <v>0</v>
      </c>
      <c r="AG3">
        <v>0</v>
      </c>
      <c r="AH3">
        <v>0</v>
      </c>
      <c r="AI3">
        <v>0</v>
      </c>
    </row>
    <row r="4" spans="1:35">
      <c r="A4" s="1">
        <f>HYPERLINK("https://lsnyc.legalserver.org/matter/dynamic-profile/view/1910893","19-1910893")</f>
        <v>0</v>
      </c>
      <c r="B4" t="s">
        <v>36</v>
      </c>
      <c r="C4" t="s">
        <v>40</v>
      </c>
      <c r="D4" t="s">
        <v>68</v>
      </c>
      <c r="E4" t="s">
        <v>509</v>
      </c>
      <c r="F4">
        <v>2093</v>
      </c>
      <c r="G4" t="s">
        <v>972</v>
      </c>
      <c r="H4" t="s">
        <v>1184</v>
      </c>
      <c r="I4" t="s">
        <v>1331</v>
      </c>
      <c r="K4" t="s">
        <v>1435</v>
      </c>
      <c r="L4">
        <v>2</v>
      </c>
      <c r="M4">
        <v>0</v>
      </c>
      <c r="N4">
        <v>0</v>
      </c>
      <c r="O4" t="s">
        <v>1440</v>
      </c>
      <c r="P4">
        <v>60000</v>
      </c>
      <c r="Q4">
        <v>11361</v>
      </c>
      <c r="R4" t="s">
        <v>1446</v>
      </c>
      <c r="S4" t="s">
        <v>1454</v>
      </c>
      <c r="T4" t="s">
        <v>1458</v>
      </c>
      <c r="U4" t="s">
        <v>1470</v>
      </c>
      <c r="Y4" t="s">
        <v>1498</v>
      </c>
      <c r="AC4">
        <v>0</v>
      </c>
      <c r="AD4">
        <v>0</v>
      </c>
      <c r="AF4">
        <v>0</v>
      </c>
      <c r="AG4">
        <v>0</v>
      </c>
      <c r="AH4">
        <v>0</v>
      </c>
      <c r="AI4">
        <v>0</v>
      </c>
    </row>
    <row r="5" spans="1:35">
      <c r="A5" s="1">
        <f>HYPERLINK("https://lsnyc.legalserver.org/matter/dynamic-profile/view/0766135","14-0766135")</f>
        <v>0</v>
      </c>
      <c r="B5" t="s">
        <v>36</v>
      </c>
      <c r="C5" t="s">
        <v>40</v>
      </c>
      <c r="D5" t="s">
        <v>69</v>
      </c>
      <c r="E5" t="s">
        <v>510</v>
      </c>
      <c r="F5">
        <v>2093</v>
      </c>
      <c r="G5" t="s">
        <v>973</v>
      </c>
      <c r="H5" t="s">
        <v>1312</v>
      </c>
      <c r="I5" t="s">
        <v>1332</v>
      </c>
      <c r="J5" t="s">
        <v>1332</v>
      </c>
      <c r="K5" t="s">
        <v>1435</v>
      </c>
      <c r="L5">
        <v>4</v>
      </c>
      <c r="M5">
        <v>2</v>
      </c>
      <c r="N5">
        <v>0</v>
      </c>
      <c r="O5" t="s">
        <v>1441</v>
      </c>
      <c r="P5">
        <v>69600</v>
      </c>
      <c r="Q5">
        <v>11420</v>
      </c>
      <c r="R5" t="s">
        <v>1446</v>
      </c>
      <c r="S5" t="s">
        <v>1455</v>
      </c>
      <c r="T5" t="s">
        <v>1456</v>
      </c>
      <c r="U5" t="s">
        <v>1471</v>
      </c>
      <c r="V5" t="s">
        <v>1474</v>
      </c>
      <c r="W5" t="s">
        <v>1490</v>
      </c>
      <c r="Y5" t="s">
        <v>1499</v>
      </c>
      <c r="AC5">
        <v>1247.25</v>
      </c>
      <c r="AD5">
        <v>0</v>
      </c>
      <c r="AF5">
        <v>0</v>
      </c>
      <c r="AG5">
        <v>0</v>
      </c>
      <c r="AH5">
        <v>0</v>
      </c>
      <c r="AI5">
        <v>0</v>
      </c>
    </row>
    <row r="6" spans="1:35">
      <c r="A6" s="1">
        <f>HYPERLINK("https://lsnyc.legalserver.org/matter/dynamic-profile/view/1884318","18-1884318")</f>
        <v>0</v>
      </c>
      <c r="B6" t="s">
        <v>35</v>
      </c>
      <c r="C6" t="s">
        <v>41</v>
      </c>
      <c r="D6" t="s">
        <v>70</v>
      </c>
      <c r="E6" t="s">
        <v>511</v>
      </c>
      <c r="F6">
        <v>2094</v>
      </c>
      <c r="G6" t="s">
        <v>974</v>
      </c>
      <c r="H6" t="s">
        <v>1313</v>
      </c>
      <c r="I6" t="s">
        <v>1333</v>
      </c>
      <c r="K6" t="s">
        <v>1435</v>
      </c>
      <c r="L6">
        <v>2</v>
      </c>
      <c r="M6">
        <v>0</v>
      </c>
      <c r="N6">
        <v>1</v>
      </c>
      <c r="O6" t="s">
        <v>1442</v>
      </c>
      <c r="P6">
        <v>65100</v>
      </c>
      <c r="Q6">
        <v>10465</v>
      </c>
      <c r="R6" t="s">
        <v>1445</v>
      </c>
      <c r="S6" t="s">
        <v>1454</v>
      </c>
      <c r="U6" t="s">
        <v>1472</v>
      </c>
      <c r="V6" t="s">
        <v>1473</v>
      </c>
      <c r="Y6" t="s">
        <v>1500</v>
      </c>
      <c r="AA6" t="s">
        <v>1501</v>
      </c>
      <c r="AC6">
        <v>0</v>
      </c>
      <c r="AD6">
        <v>0</v>
      </c>
      <c r="AF6">
        <v>0</v>
      </c>
      <c r="AG6">
        <v>0</v>
      </c>
      <c r="AH6">
        <v>0</v>
      </c>
      <c r="AI6">
        <v>0</v>
      </c>
    </row>
    <row r="7" spans="1:35">
      <c r="A7" s="1">
        <f>HYPERLINK("https://lsnyc.legalserver.org/matter/dynamic-profile/view/0809559","16-0809559")</f>
        <v>0</v>
      </c>
      <c r="B7" t="s">
        <v>37</v>
      </c>
      <c r="C7" t="s">
        <v>42</v>
      </c>
      <c r="D7" t="s">
        <v>71</v>
      </c>
      <c r="E7" t="s">
        <v>512</v>
      </c>
      <c r="F7">
        <v>2091</v>
      </c>
      <c r="G7" t="s">
        <v>975</v>
      </c>
      <c r="H7" t="s">
        <v>1185</v>
      </c>
      <c r="I7" t="s">
        <v>1334</v>
      </c>
      <c r="K7" t="s">
        <v>1435</v>
      </c>
      <c r="L7">
        <v>3</v>
      </c>
      <c r="M7">
        <v>1</v>
      </c>
      <c r="N7">
        <v>0</v>
      </c>
      <c r="O7" t="s">
        <v>1441</v>
      </c>
      <c r="P7">
        <v>42660</v>
      </c>
      <c r="Q7">
        <v>11218</v>
      </c>
      <c r="R7" t="s">
        <v>1447</v>
      </c>
      <c r="S7" t="s">
        <v>1453</v>
      </c>
      <c r="T7" t="s">
        <v>1459</v>
      </c>
      <c r="U7" t="s">
        <v>1473</v>
      </c>
      <c r="V7" t="s">
        <v>1471</v>
      </c>
      <c r="W7" t="s">
        <v>1490</v>
      </c>
      <c r="Y7" t="s">
        <v>1499</v>
      </c>
      <c r="AA7" t="s">
        <v>1503</v>
      </c>
      <c r="AC7">
        <v>5836.36</v>
      </c>
      <c r="AD7">
        <v>0</v>
      </c>
      <c r="AF7">
        <v>83042.50999999999</v>
      </c>
      <c r="AG7">
        <v>0</v>
      </c>
      <c r="AH7">
        <v>0</v>
      </c>
      <c r="AI7">
        <v>0</v>
      </c>
    </row>
    <row r="8" spans="1:35">
      <c r="A8" s="1">
        <f>HYPERLINK("https://lsnyc.legalserver.org/matter/dynamic-profile/view/1892929","19-1892929")</f>
        <v>0</v>
      </c>
      <c r="B8" t="s">
        <v>35</v>
      </c>
      <c r="C8" t="s">
        <v>43</v>
      </c>
      <c r="D8" t="s">
        <v>72</v>
      </c>
      <c r="E8" t="s">
        <v>513</v>
      </c>
      <c r="F8">
        <v>2094</v>
      </c>
      <c r="G8" t="s">
        <v>976</v>
      </c>
      <c r="H8" t="s">
        <v>989</v>
      </c>
      <c r="I8" t="s">
        <v>1329</v>
      </c>
      <c r="K8" t="s">
        <v>1435</v>
      </c>
      <c r="L8">
        <v>1</v>
      </c>
      <c r="M8">
        <v>0</v>
      </c>
      <c r="N8">
        <v>1</v>
      </c>
      <c r="O8" t="s">
        <v>1439</v>
      </c>
      <c r="P8">
        <v>13200</v>
      </c>
      <c r="Q8">
        <v>10462</v>
      </c>
      <c r="R8" t="s">
        <v>1445</v>
      </c>
      <c r="S8" t="s">
        <v>1456</v>
      </c>
      <c r="U8" t="s">
        <v>1474</v>
      </c>
      <c r="Y8" t="s">
        <v>1501</v>
      </c>
      <c r="AC8">
        <v>0</v>
      </c>
      <c r="AD8">
        <v>0</v>
      </c>
      <c r="AF8">
        <v>0</v>
      </c>
      <c r="AG8">
        <v>0</v>
      </c>
      <c r="AH8">
        <v>0</v>
      </c>
      <c r="AI8">
        <v>0</v>
      </c>
    </row>
    <row r="9" spans="1:35">
      <c r="A9" s="1">
        <f>HYPERLINK("https://lsnyc.legalserver.org/matter/dynamic-profile/view/0813971","16-0813971")</f>
        <v>0</v>
      </c>
      <c r="B9" t="s">
        <v>35</v>
      </c>
      <c r="C9" t="s">
        <v>39</v>
      </c>
      <c r="D9" t="s">
        <v>73</v>
      </c>
      <c r="E9" t="s">
        <v>510</v>
      </c>
      <c r="F9">
        <v>2094</v>
      </c>
      <c r="G9" t="s">
        <v>977</v>
      </c>
      <c r="H9" t="s">
        <v>1314</v>
      </c>
      <c r="I9" t="s">
        <v>1335</v>
      </c>
      <c r="K9" t="s">
        <v>1435</v>
      </c>
      <c r="L9">
        <v>2</v>
      </c>
      <c r="M9">
        <v>0</v>
      </c>
      <c r="N9">
        <v>0</v>
      </c>
      <c r="O9" t="s">
        <v>1441</v>
      </c>
      <c r="P9">
        <v>106600</v>
      </c>
      <c r="Q9">
        <v>10462</v>
      </c>
      <c r="R9" t="s">
        <v>1445</v>
      </c>
      <c r="S9" t="s">
        <v>1454</v>
      </c>
      <c r="U9" t="s">
        <v>1473</v>
      </c>
      <c r="V9" t="s">
        <v>1478</v>
      </c>
      <c r="W9" t="s">
        <v>1490</v>
      </c>
      <c r="Y9" t="s">
        <v>1502</v>
      </c>
      <c r="AA9" t="s">
        <v>1500</v>
      </c>
      <c r="AC9">
        <v>2769.92</v>
      </c>
      <c r="AD9">
        <v>0</v>
      </c>
      <c r="AF9">
        <v>0</v>
      </c>
      <c r="AG9">
        <v>0</v>
      </c>
      <c r="AH9">
        <v>0</v>
      </c>
      <c r="AI9">
        <v>0</v>
      </c>
    </row>
    <row r="10" spans="1:35">
      <c r="A10" s="1">
        <f>HYPERLINK("https://lsnyc.legalserver.org/matter/dynamic-profile/view/0821480","16-0821480")</f>
        <v>0</v>
      </c>
      <c r="B10" t="s">
        <v>38</v>
      </c>
      <c r="C10" t="s">
        <v>44</v>
      </c>
      <c r="D10" t="s">
        <v>74</v>
      </c>
      <c r="E10" t="s">
        <v>514</v>
      </c>
      <c r="F10">
        <v>2090</v>
      </c>
      <c r="G10" t="s">
        <v>978</v>
      </c>
      <c r="H10" t="s">
        <v>1188</v>
      </c>
      <c r="I10" t="s">
        <v>1336</v>
      </c>
      <c r="K10" t="s">
        <v>1435</v>
      </c>
      <c r="L10">
        <v>3</v>
      </c>
      <c r="M10">
        <v>1</v>
      </c>
      <c r="N10">
        <v>0</v>
      </c>
      <c r="O10" t="s">
        <v>1440</v>
      </c>
      <c r="P10">
        <v>18256</v>
      </c>
      <c r="Q10">
        <v>10302</v>
      </c>
      <c r="R10" t="s">
        <v>1448</v>
      </c>
      <c r="S10" t="s">
        <v>1457</v>
      </c>
      <c r="U10" t="s">
        <v>1470</v>
      </c>
      <c r="Y10" t="s">
        <v>1498</v>
      </c>
      <c r="AC10">
        <v>0</v>
      </c>
      <c r="AD10">
        <v>0</v>
      </c>
      <c r="AF10">
        <v>0</v>
      </c>
      <c r="AG10">
        <v>0</v>
      </c>
      <c r="AH10">
        <v>0</v>
      </c>
      <c r="AI10">
        <v>0</v>
      </c>
    </row>
    <row r="11" spans="1:35">
      <c r="A11" s="1">
        <f>HYPERLINK("https://lsnyc.legalserver.org/matter/dynamic-profile/view/1833992","17-1833992")</f>
        <v>0</v>
      </c>
      <c r="B11" t="s">
        <v>38</v>
      </c>
      <c r="C11" t="s">
        <v>45</v>
      </c>
      <c r="D11" t="s">
        <v>75</v>
      </c>
      <c r="E11" t="s">
        <v>515</v>
      </c>
      <c r="F11">
        <v>2090</v>
      </c>
      <c r="G11" t="s">
        <v>979</v>
      </c>
      <c r="H11" t="s">
        <v>1315</v>
      </c>
      <c r="I11" t="s">
        <v>1337</v>
      </c>
      <c r="K11" t="s">
        <v>1435</v>
      </c>
      <c r="L11">
        <v>2</v>
      </c>
      <c r="M11">
        <v>2</v>
      </c>
      <c r="N11">
        <v>0</v>
      </c>
      <c r="P11">
        <v>67600</v>
      </c>
      <c r="Q11">
        <v>10305</v>
      </c>
      <c r="R11" t="s">
        <v>1448</v>
      </c>
      <c r="S11" t="s">
        <v>1453</v>
      </c>
      <c r="U11" t="s">
        <v>1474</v>
      </c>
      <c r="V11" t="s">
        <v>1475</v>
      </c>
      <c r="Y11" t="s">
        <v>1503</v>
      </c>
      <c r="AA11" t="s">
        <v>1498</v>
      </c>
      <c r="AC11">
        <v>0</v>
      </c>
      <c r="AD11">
        <v>0</v>
      </c>
      <c r="AF11">
        <v>0</v>
      </c>
      <c r="AG11">
        <v>0</v>
      </c>
      <c r="AH11">
        <v>0</v>
      </c>
      <c r="AI11">
        <v>0</v>
      </c>
    </row>
    <row r="12" spans="1:35">
      <c r="A12" s="1">
        <f>HYPERLINK("https://lsnyc.legalserver.org/matter/dynamic-profile/view/1880974","18-1880974")</f>
        <v>0</v>
      </c>
      <c r="B12" t="s">
        <v>38</v>
      </c>
      <c r="C12" t="s">
        <v>44</v>
      </c>
      <c r="D12" t="s">
        <v>76</v>
      </c>
      <c r="E12" t="s">
        <v>516</v>
      </c>
      <c r="F12">
        <v>2090</v>
      </c>
      <c r="G12" t="s">
        <v>980</v>
      </c>
      <c r="H12" t="s">
        <v>1188</v>
      </c>
      <c r="I12" t="s">
        <v>1338</v>
      </c>
      <c r="J12" t="s">
        <v>1414</v>
      </c>
      <c r="K12" t="s">
        <v>1435</v>
      </c>
      <c r="L12">
        <v>5</v>
      </c>
      <c r="M12">
        <v>0</v>
      </c>
      <c r="N12">
        <v>0</v>
      </c>
      <c r="P12">
        <v>69492</v>
      </c>
      <c r="Q12">
        <v>10314</v>
      </c>
      <c r="R12" t="s">
        <v>1448</v>
      </c>
      <c r="S12" t="s">
        <v>1455</v>
      </c>
      <c r="T12" t="s">
        <v>1460</v>
      </c>
      <c r="U12" t="s">
        <v>1475</v>
      </c>
      <c r="V12" t="s">
        <v>1475</v>
      </c>
      <c r="Y12" t="s">
        <v>1498</v>
      </c>
      <c r="AC12">
        <v>0</v>
      </c>
      <c r="AD12">
        <v>0</v>
      </c>
      <c r="AF12">
        <v>0</v>
      </c>
      <c r="AG12">
        <v>0</v>
      </c>
      <c r="AH12">
        <v>0</v>
      </c>
      <c r="AI12">
        <v>0</v>
      </c>
    </row>
    <row r="13" spans="1:35">
      <c r="A13" s="1">
        <f>HYPERLINK("https://lsnyc.legalserver.org/matter/dynamic-profile/view/1904572","19-1904572")</f>
        <v>0</v>
      </c>
      <c r="B13" t="s">
        <v>35</v>
      </c>
      <c r="C13" t="s">
        <v>46</v>
      </c>
      <c r="D13" t="s">
        <v>77</v>
      </c>
      <c r="E13" t="s">
        <v>517</v>
      </c>
      <c r="F13">
        <v>2094</v>
      </c>
      <c r="G13" t="s">
        <v>981</v>
      </c>
      <c r="H13" t="s">
        <v>1316</v>
      </c>
      <c r="I13" t="s">
        <v>1339</v>
      </c>
      <c r="K13" t="s">
        <v>1435</v>
      </c>
      <c r="L13">
        <v>2</v>
      </c>
      <c r="M13">
        <v>2</v>
      </c>
      <c r="N13">
        <v>0</v>
      </c>
      <c r="O13" t="s">
        <v>1440</v>
      </c>
      <c r="P13">
        <v>0</v>
      </c>
      <c r="Q13">
        <v>10466</v>
      </c>
      <c r="R13" t="s">
        <v>1445</v>
      </c>
      <c r="S13" t="s">
        <v>1454</v>
      </c>
      <c r="U13" t="s">
        <v>1475</v>
      </c>
      <c r="Y13" t="s">
        <v>1498</v>
      </c>
      <c r="AC13">
        <v>0</v>
      </c>
      <c r="AD13">
        <v>0</v>
      </c>
      <c r="AF13">
        <v>0</v>
      </c>
      <c r="AG13">
        <v>0</v>
      </c>
      <c r="AH13">
        <v>0</v>
      </c>
      <c r="AI13">
        <v>0</v>
      </c>
    </row>
    <row r="14" spans="1:35">
      <c r="A14" s="1">
        <f>HYPERLINK("https://lsnyc.legalserver.org/matter/dynamic-profile/view/1910202","19-1910202")</f>
        <v>0</v>
      </c>
      <c r="B14" t="s">
        <v>36</v>
      </c>
      <c r="C14" t="s">
        <v>47</v>
      </c>
      <c r="D14" t="s">
        <v>78</v>
      </c>
      <c r="E14" t="s">
        <v>518</v>
      </c>
      <c r="F14">
        <v>2093</v>
      </c>
      <c r="G14" t="s">
        <v>982</v>
      </c>
      <c r="H14" t="s">
        <v>1317</v>
      </c>
      <c r="I14" t="s">
        <v>1340</v>
      </c>
      <c r="J14" t="s">
        <v>1398</v>
      </c>
      <c r="K14" t="s">
        <v>1435</v>
      </c>
      <c r="L14">
        <v>5</v>
      </c>
      <c r="M14">
        <v>1</v>
      </c>
      <c r="N14">
        <v>0</v>
      </c>
      <c r="O14" t="s">
        <v>1441</v>
      </c>
      <c r="P14">
        <v>84000</v>
      </c>
      <c r="Q14">
        <v>11374</v>
      </c>
      <c r="R14" t="s">
        <v>1446</v>
      </c>
      <c r="S14" t="s">
        <v>1455</v>
      </c>
      <c r="U14" t="s">
        <v>1475</v>
      </c>
      <c r="AC14">
        <v>0</v>
      </c>
      <c r="AD14">
        <v>0</v>
      </c>
      <c r="AF14">
        <v>0</v>
      </c>
      <c r="AG14">
        <v>0</v>
      </c>
      <c r="AH14">
        <v>0</v>
      </c>
      <c r="AI14">
        <v>0</v>
      </c>
    </row>
    <row r="15" spans="1:35">
      <c r="A15" s="1">
        <f>HYPERLINK("https://lsnyc.legalserver.org/matter/dynamic-profile/view/1911371","19-1911371")</f>
        <v>0</v>
      </c>
      <c r="B15" t="s">
        <v>38</v>
      </c>
      <c r="C15" t="s">
        <v>44</v>
      </c>
      <c r="D15" t="s">
        <v>75</v>
      </c>
      <c r="E15" t="s">
        <v>515</v>
      </c>
      <c r="F15">
        <v>2090</v>
      </c>
      <c r="G15" t="s">
        <v>983</v>
      </c>
      <c r="H15" t="s">
        <v>1313</v>
      </c>
      <c r="I15" t="s">
        <v>1341</v>
      </c>
      <c r="J15" t="s">
        <v>1378</v>
      </c>
      <c r="K15" t="s">
        <v>1435</v>
      </c>
      <c r="L15">
        <v>2</v>
      </c>
      <c r="M15">
        <v>2</v>
      </c>
      <c r="N15">
        <v>0</v>
      </c>
      <c r="P15">
        <v>67600</v>
      </c>
      <c r="Q15">
        <v>10305</v>
      </c>
      <c r="R15" t="s">
        <v>1448</v>
      </c>
      <c r="S15" t="s">
        <v>1453</v>
      </c>
      <c r="U15" t="s">
        <v>1472</v>
      </c>
      <c r="AC15">
        <v>0</v>
      </c>
      <c r="AD15">
        <v>0</v>
      </c>
      <c r="AF15">
        <v>0</v>
      </c>
      <c r="AG15">
        <v>0</v>
      </c>
      <c r="AH15">
        <v>0</v>
      </c>
      <c r="AI15">
        <v>0</v>
      </c>
    </row>
    <row r="16" spans="1:35">
      <c r="A16" s="1">
        <f>HYPERLINK("https://lsnyc.legalserver.org/matter/dynamic-profile/view/1909084","19-1909084")</f>
        <v>0</v>
      </c>
      <c r="B16" t="s">
        <v>38</v>
      </c>
      <c r="C16" t="s">
        <v>48</v>
      </c>
      <c r="D16" t="s">
        <v>79</v>
      </c>
      <c r="E16" t="s">
        <v>519</v>
      </c>
      <c r="F16">
        <v>2090</v>
      </c>
      <c r="G16" t="s">
        <v>984</v>
      </c>
      <c r="H16" t="s">
        <v>1188</v>
      </c>
      <c r="I16" t="s">
        <v>1342</v>
      </c>
      <c r="K16" t="s">
        <v>1435</v>
      </c>
      <c r="L16">
        <v>4</v>
      </c>
      <c r="M16">
        <v>1</v>
      </c>
      <c r="N16">
        <v>0</v>
      </c>
      <c r="P16">
        <v>106600</v>
      </c>
      <c r="Q16">
        <v>10310</v>
      </c>
      <c r="R16" t="s">
        <v>1448</v>
      </c>
      <c r="S16" t="s">
        <v>1454</v>
      </c>
      <c r="U16" t="s">
        <v>1470</v>
      </c>
      <c r="AC16">
        <v>0</v>
      </c>
      <c r="AD16">
        <v>0</v>
      </c>
      <c r="AF16">
        <v>0</v>
      </c>
      <c r="AG16">
        <v>0</v>
      </c>
      <c r="AH16">
        <v>0</v>
      </c>
      <c r="AI16">
        <v>0</v>
      </c>
    </row>
    <row r="17" spans="1:35">
      <c r="A17" s="1">
        <f>HYPERLINK("https://lsnyc.legalserver.org/matter/dynamic-profile/view/1912234","19-1912234")</f>
        <v>0</v>
      </c>
      <c r="B17" t="s">
        <v>35</v>
      </c>
      <c r="C17" t="s">
        <v>39</v>
      </c>
      <c r="D17" t="s">
        <v>80</v>
      </c>
      <c r="E17" t="s">
        <v>441</v>
      </c>
      <c r="F17">
        <v>2094</v>
      </c>
      <c r="G17" t="s">
        <v>985</v>
      </c>
      <c r="H17" t="s">
        <v>1186</v>
      </c>
      <c r="I17" t="s">
        <v>1329</v>
      </c>
      <c r="K17" t="s">
        <v>1435</v>
      </c>
      <c r="L17">
        <v>3</v>
      </c>
      <c r="M17">
        <v>0</v>
      </c>
      <c r="N17">
        <v>0</v>
      </c>
      <c r="O17" t="s">
        <v>1439</v>
      </c>
      <c r="P17">
        <v>20556</v>
      </c>
      <c r="Q17">
        <v>10462</v>
      </c>
      <c r="R17" t="s">
        <v>1445</v>
      </c>
      <c r="S17" t="s">
        <v>1453</v>
      </c>
      <c r="U17" t="s">
        <v>1475</v>
      </c>
      <c r="Y17" t="s">
        <v>1498</v>
      </c>
      <c r="AC17">
        <v>0</v>
      </c>
      <c r="AD17">
        <v>0</v>
      </c>
      <c r="AF17">
        <v>0</v>
      </c>
      <c r="AG17">
        <v>0</v>
      </c>
      <c r="AH17">
        <v>0</v>
      </c>
      <c r="AI17">
        <v>0</v>
      </c>
    </row>
    <row r="18" spans="1:35">
      <c r="A18" s="1">
        <f>HYPERLINK("https://lsnyc.legalserver.org/matter/dynamic-profile/view/1912515","19-1912515")</f>
        <v>0</v>
      </c>
      <c r="B18" t="s">
        <v>36</v>
      </c>
      <c r="C18" t="s">
        <v>49</v>
      </c>
      <c r="D18" t="s">
        <v>81</v>
      </c>
      <c r="E18" t="s">
        <v>520</v>
      </c>
      <c r="F18">
        <v>2093</v>
      </c>
      <c r="G18" t="s">
        <v>986</v>
      </c>
      <c r="H18" t="s">
        <v>1318</v>
      </c>
      <c r="K18" t="s">
        <v>1435</v>
      </c>
      <c r="L18">
        <v>2</v>
      </c>
      <c r="M18">
        <v>0</v>
      </c>
      <c r="N18">
        <v>0</v>
      </c>
      <c r="P18">
        <v>7280</v>
      </c>
      <c r="Q18">
        <v>11374</v>
      </c>
      <c r="R18" t="s">
        <v>1446</v>
      </c>
      <c r="S18" t="s">
        <v>1458</v>
      </c>
      <c r="U18" t="s">
        <v>1470</v>
      </c>
      <c r="AC18">
        <v>0</v>
      </c>
      <c r="AD18">
        <v>0</v>
      </c>
      <c r="AF18">
        <v>0</v>
      </c>
      <c r="AG18">
        <v>0</v>
      </c>
      <c r="AH18">
        <v>0</v>
      </c>
      <c r="AI18">
        <v>0</v>
      </c>
    </row>
    <row r="19" spans="1:35">
      <c r="A19" s="1">
        <f>HYPERLINK("https://lsnyc.legalserver.org/matter/dynamic-profile/view/1911805","19-1911805")</f>
        <v>0</v>
      </c>
      <c r="B19" t="s">
        <v>37</v>
      </c>
      <c r="C19" t="s">
        <v>50</v>
      </c>
      <c r="D19" t="s">
        <v>82</v>
      </c>
      <c r="E19" t="s">
        <v>521</v>
      </c>
      <c r="F19">
        <v>2091</v>
      </c>
      <c r="G19" t="s">
        <v>987</v>
      </c>
      <c r="H19" t="s">
        <v>1318</v>
      </c>
      <c r="I19" t="s">
        <v>1343</v>
      </c>
      <c r="K19" t="s">
        <v>1435</v>
      </c>
      <c r="L19">
        <v>3</v>
      </c>
      <c r="M19">
        <v>0</v>
      </c>
      <c r="N19">
        <v>0</v>
      </c>
      <c r="O19" t="s">
        <v>1441</v>
      </c>
      <c r="P19">
        <v>140400</v>
      </c>
      <c r="Q19">
        <v>11228</v>
      </c>
      <c r="R19" t="s">
        <v>1447</v>
      </c>
      <c r="S19" t="s">
        <v>1456</v>
      </c>
      <c r="U19" t="s">
        <v>1472</v>
      </c>
      <c r="V19" t="s">
        <v>1470</v>
      </c>
      <c r="Y19" t="s">
        <v>1502</v>
      </c>
      <c r="AA19" t="s">
        <v>1498</v>
      </c>
      <c r="AC19">
        <v>0</v>
      </c>
      <c r="AD19">
        <v>0</v>
      </c>
      <c r="AF19">
        <v>0</v>
      </c>
      <c r="AG19">
        <v>0</v>
      </c>
      <c r="AH19">
        <v>0</v>
      </c>
      <c r="AI19">
        <v>0</v>
      </c>
    </row>
    <row r="20" spans="1:35">
      <c r="A20" s="1">
        <f>HYPERLINK("https://lsnyc.legalserver.org/matter/dynamic-profile/view/1914196","19-1914196")</f>
        <v>0</v>
      </c>
      <c r="B20" t="s">
        <v>36</v>
      </c>
      <c r="C20" t="s">
        <v>51</v>
      </c>
      <c r="D20" t="s">
        <v>83</v>
      </c>
      <c r="E20" t="s">
        <v>522</v>
      </c>
      <c r="F20">
        <v>2093</v>
      </c>
      <c r="G20" t="s">
        <v>988</v>
      </c>
      <c r="H20" t="s">
        <v>1315</v>
      </c>
      <c r="K20" t="s">
        <v>1435</v>
      </c>
      <c r="L20">
        <v>1</v>
      </c>
      <c r="M20">
        <v>0</v>
      </c>
      <c r="N20">
        <v>0</v>
      </c>
      <c r="O20" t="s">
        <v>1441</v>
      </c>
      <c r="P20">
        <v>6000</v>
      </c>
      <c r="Q20">
        <v>11419</v>
      </c>
      <c r="R20" t="s">
        <v>1446</v>
      </c>
      <c r="S20" t="s">
        <v>1459</v>
      </c>
      <c r="AC20">
        <v>0</v>
      </c>
      <c r="AD20">
        <v>0</v>
      </c>
      <c r="AF20">
        <v>0</v>
      </c>
      <c r="AG20">
        <v>0</v>
      </c>
      <c r="AH20">
        <v>0</v>
      </c>
      <c r="AI20">
        <v>0</v>
      </c>
    </row>
    <row r="21" spans="1:35">
      <c r="A21" s="1">
        <f>HYPERLINK("https://lsnyc.legalserver.org/matter/dynamic-profile/view/1917147","19-1917147")</f>
        <v>0</v>
      </c>
      <c r="B21" t="s">
        <v>36</v>
      </c>
      <c r="C21" t="s">
        <v>52</v>
      </c>
      <c r="D21" t="s">
        <v>84</v>
      </c>
      <c r="E21" t="s">
        <v>523</v>
      </c>
      <c r="F21">
        <v>2093</v>
      </c>
      <c r="G21" t="s">
        <v>989</v>
      </c>
      <c r="H21" t="s">
        <v>1317</v>
      </c>
      <c r="K21" t="s">
        <v>1435</v>
      </c>
      <c r="L21">
        <v>2</v>
      </c>
      <c r="M21">
        <v>1</v>
      </c>
      <c r="N21">
        <v>0</v>
      </c>
      <c r="P21">
        <v>116400</v>
      </c>
      <c r="Q21">
        <v>11363</v>
      </c>
      <c r="R21" t="s">
        <v>1446</v>
      </c>
      <c r="AC21">
        <v>0</v>
      </c>
      <c r="AD21">
        <v>0</v>
      </c>
      <c r="AF21">
        <v>0</v>
      </c>
      <c r="AG21">
        <v>0</v>
      </c>
      <c r="AH21">
        <v>0</v>
      </c>
      <c r="AI21">
        <v>0</v>
      </c>
    </row>
    <row r="22" spans="1:35">
      <c r="A22" s="1">
        <f>HYPERLINK("https://lsnyc.legalserver.org/matter/dynamic-profile/view/1907967","19-1907967")</f>
        <v>0</v>
      </c>
      <c r="B22" t="s">
        <v>37</v>
      </c>
      <c r="C22" t="s">
        <v>42</v>
      </c>
      <c r="D22" t="s">
        <v>85</v>
      </c>
      <c r="E22" t="s">
        <v>524</v>
      </c>
      <c r="F22">
        <v>2091</v>
      </c>
      <c r="G22" t="s">
        <v>990</v>
      </c>
      <c r="H22" t="s">
        <v>1317</v>
      </c>
      <c r="K22" t="s">
        <v>1436</v>
      </c>
      <c r="L22">
        <v>5</v>
      </c>
      <c r="M22">
        <v>1</v>
      </c>
      <c r="N22">
        <v>0</v>
      </c>
      <c r="O22" t="s">
        <v>1441</v>
      </c>
      <c r="P22">
        <v>67800</v>
      </c>
      <c r="Q22">
        <v>11236</v>
      </c>
      <c r="R22" t="s">
        <v>1447</v>
      </c>
      <c r="S22" t="s">
        <v>1460</v>
      </c>
      <c r="T22" t="s">
        <v>1463</v>
      </c>
      <c r="U22" t="s">
        <v>1475</v>
      </c>
      <c r="V22" t="s">
        <v>1472</v>
      </c>
      <c r="Y22" t="s">
        <v>1502</v>
      </c>
      <c r="AA22" t="s">
        <v>1498</v>
      </c>
      <c r="AC22">
        <v>0</v>
      </c>
      <c r="AD22">
        <v>0</v>
      </c>
      <c r="AF22">
        <v>0</v>
      </c>
      <c r="AG22">
        <v>0</v>
      </c>
      <c r="AH22">
        <v>0</v>
      </c>
      <c r="AI22">
        <v>0</v>
      </c>
    </row>
    <row r="23" spans="1:35">
      <c r="A23" s="1">
        <f>HYPERLINK("https://lsnyc.legalserver.org/matter/dynamic-profile/view/1866058","18-1866058")</f>
        <v>0</v>
      </c>
      <c r="B23" t="s">
        <v>38</v>
      </c>
      <c r="C23" t="s">
        <v>53</v>
      </c>
      <c r="D23" t="s">
        <v>86</v>
      </c>
      <c r="E23" t="s">
        <v>525</v>
      </c>
      <c r="F23">
        <v>2090</v>
      </c>
      <c r="G23" t="s">
        <v>991</v>
      </c>
      <c r="H23" t="s">
        <v>1313</v>
      </c>
      <c r="K23" t="s">
        <v>1436</v>
      </c>
      <c r="L23">
        <v>1</v>
      </c>
      <c r="M23">
        <v>1</v>
      </c>
      <c r="N23">
        <v>0</v>
      </c>
      <c r="P23">
        <v>36400</v>
      </c>
      <c r="Q23">
        <v>10303</v>
      </c>
      <c r="R23" t="s">
        <v>1448</v>
      </c>
      <c r="S23" t="s">
        <v>1456</v>
      </c>
      <c r="T23" t="s">
        <v>1465</v>
      </c>
      <c r="U23" t="s">
        <v>1475</v>
      </c>
      <c r="V23" t="s">
        <v>1477</v>
      </c>
      <c r="Y23" t="s">
        <v>1504</v>
      </c>
      <c r="AC23">
        <v>0</v>
      </c>
      <c r="AD23">
        <v>0</v>
      </c>
      <c r="AE23">
        <v>6927.15</v>
      </c>
      <c r="AF23">
        <v>0</v>
      </c>
      <c r="AG23">
        <v>0</v>
      </c>
      <c r="AH23">
        <v>0</v>
      </c>
      <c r="AI23">
        <v>0</v>
      </c>
    </row>
    <row r="24" spans="1:35">
      <c r="A24" s="1">
        <f>HYPERLINK("https://lsnyc.legalserver.org/matter/dynamic-profile/view/1907932","19-1907932")</f>
        <v>0</v>
      </c>
      <c r="B24" t="s">
        <v>35</v>
      </c>
      <c r="C24" t="s">
        <v>39</v>
      </c>
      <c r="D24" t="s">
        <v>87</v>
      </c>
      <c r="E24" t="s">
        <v>526</v>
      </c>
      <c r="F24">
        <v>2094</v>
      </c>
      <c r="G24" t="s">
        <v>992</v>
      </c>
      <c r="H24" t="s">
        <v>1186</v>
      </c>
      <c r="I24" t="s">
        <v>1344</v>
      </c>
      <c r="K24" t="s">
        <v>1436</v>
      </c>
      <c r="L24">
        <v>2</v>
      </c>
      <c r="M24">
        <v>0</v>
      </c>
      <c r="N24">
        <v>0</v>
      </c>
      <c r="O24" t="s">
        <v>1440</v>
      </c>
      <c r="P24">
        <v>39000</v>
      </c>
      <c r="Q24">
        <v>10466</v>
      </c>
      <c r="R24" t="s">
        <v>1445</v>
      </c>
      <c r="S24" t="s">
        <v>1453</v>
      </c>
      <c r="T24" t="s">
        <v>1454</v>
      </c>
      <c r="U24" t="s">
        <v>1475</v>
      </c>
      <c r="Y24" t="s">
        <v>1498</v>
      </c>
      <c r="AC24">
        <v>0</v>
      </c>
      <c r="AD24">
        <v>0</v>
      </c>
      <c r="AF24">
        <v>0</v>
      </c>
      <c r="AG24">
        <v>0</v>
      </c>
      <c r="AH24">
        <v>0</v>
      </c>
      <c r="AI24">
        <v>0</v>
      </c>
    </row>
    <row r="25" spans="1:35">
      <c r="A25" s="1">
        <f>HYPERLINK("https://lsnyc.legalserver.org/matter/dynamic-profile/view/1908519","19-1908519")</f>
        <v>0</v>
      </c>
      <c r="B25" t="s">
        <v>35</v>
      </c>
      <c r="C25" t="s">
        <v>39</v>
      </c>
      <c r="D25" t="s">
        <v>88</v>
      </c>
      <c r="E25" t="s">
        <v>527</v>
      </c>
      <c r="F25">
        <v>2094</v>
      </c>
      <c r="G25" t="s">
        <v>970</v>
      </c>
      <c r="H25" t="s">
        <v>1186</v>
      </c>
      <c r="I25" t="s">
        <v>1342</v>
      </c>
      <c r="K25" t="s">
        <v>1436</v>
      </c>
      <c r="L25">
        <v>2</v>
      </c>
      <c r="M25">
        <v>0</v>
      </c>
      <c r="N25">
        <v>0</v>
      </c>
      <c r="O25" t="s">
        <v>1441</v>
      </c>
      <c r="P25">
        <v>20000</v>
      </c>
      <c r="Q25">
        <v>10473</v>
      </c>
      <c r="R25" t="s">
        <v>1445</v>
      </c>
      <c r="S25" t="s">
        <v>1453</v>
      </c>
      <c r="U25" t="s">
        <v>1472</v>
      </c>
      <c r="V25" t="s">
        <v>1470</v>
      </c>
      <c r="Y25" t="s">
        <v>1502</v>
      </c>
      <c r="AA25" t="s">
        <v>1498</v>
      </c>
      <c r="AC25">
        <v>0</v>
      </c>
      <c r="AD25">
        <v>0</v>
      </c>
      <c r="AF25">
        <v>0</v>
      </c>
      <c r="AG25">
        <v>0</v>
      </c>
      <c r="AH25">
        <v>0</v>
      </c>
      <c r="AI25">
        <v>0</v>
      </c>
    </row>
    <row r="26" spans="1:35">
      <c r="A26" s="1">
        <f>HYPERLINK("https://lsnyc.legalserver.org/matter/dynamic-profile/view/1908978","19-1908978")</f>
        <v>0</v>
      </c>
      <c r="B26" t="s">
        <v>35</v>
      </c>
      <c r="C26" t="s">
        <v>39</v>
      </c>
      <c r="D26" t="s">
        <v>89</v>
      </c>
      <c r="E26" t="s">
        <v>528</v>
      </c>
      <c r="F26">
        <v>2094</v>
      </c>
      <c r="G26" t="s">
        <v>993</v>
      </c>
      <c r="H26" t="s">
        <v>1186</v>
      </c>
      <c r="K26" t="s">
        <v>1436</v>
      </c>
      <c r="L26">
        <v>2</v>
      </c>
      <c r="M26">
        <v>1</v>
      </c>
      <c r="N26">
        <v>0</v>
      </c>
      <c r="O26" t="s">
        <v>1439</v>
      </c>
      <c r="P26">
        <v>20776</v>
      </c>
      <c r="Q26">
        <v>10462</v>
      </c>
      <c r="R26" t="s">
        <v>1445</v>
      </c>
      <c r="S26" t="s">
        <v>1454</v>
      </c>
      <c r="U26" t="s">
        <v>1470</v>
      </c>
      <c r="Y26" t="s">
        <v>1498</v>
      </c>
      <c r="AC26">
        <v>0</v>
      </c>
      <c r="AD26">
        <v>0</v>
      </c>
      <c r="AF26">
        <v>0</v>
      </c>
      <c r="AG26">
        <v>0</v>
      </c>
      <c r="AH26">
        <v>0</v>
      </c>
      <c r="AI26">
        <v>0</v>
      </c>
    </row>
    <row r="27" spans="1:35">
      <c r="A27" s="1">
        <f>HYPERLINK("https://lsnyc.legalserver.org/matter/dynamic-profile/view/1909537","19-1909537")</f>
        <v>0</v>
      </c>
      <c r="B27" t="s">
        <v>35</v>
      </c>
      <c r="C27" t="s">
        <v>39</v>
      </c>
      <c r="D27" t="s">
        <v>90</v>
      </c>
      <c r="E27" t="s">
        <v>529</v>
      </c>
      <c r="F27">
        <v>2094</v>
      </c>
      <c r="G27" t="s">
        <v>994</v>
      </c>
      <c r="H27" t="s">
        <v>1186</v>
      </c>
      <c r="I27" t="s">
        <v>1329</v>
      </c>
      <c r="K27" t="s">
        <v>1436</v>
      </c>
      <c r="L27">
        <v>1</v>
      </c>
      <c r="M27">
        <v>0</v>
      </c>
      <c r="N27">
        <v>1</v>
      </c>
      <c r="O27" t="s">
        <v>1442</v>
      </c>
      <c r="P27">
        <v>80000</v>
      </c>
      <c r="Q27">
        <v>10456</v>
      </c>
      <c r="R27" t="s">
        <v>1445</v>
      </c>
      <c r="S27" t="s">
        <v>1456</v>
      </c>
      <c r="U27" t="s">
        <v>1475</v>
      </c>
      <c r="Y27" t="s">
        <v>1498</v>
      </c>
      <c r="AC27">
        <v>0</v>
      </c>
      <c r="AD27">
        <v>0</v>
      </c>
      <c r="AF27">
        <v>0</v>
      </c>
      <c r="AG27">
        <v>0</v>
      </c>
      <c r="AH27">
        <v>0</v>
      </c>
      <c r="AI27">
        <v>0</v>
      </c>
    </row>
    <row r="28" spans="1:35">
      <c r="A28" s="1">
        <f>HYPERLINK("https://lsnyc.legalserver.org/matter/dynamic-profile/view/1907070","19-1907070")</f>
        <v>0</v>
      </c>
      <c r="B28" t="s">
        <v>37</v>
      </c>
      <c r="C28" t="s">
        <v>54</v>
      </c>
      <c r="D28" t="s">
        <v>91</v>
      </c>
      <c r="E28" t="s">
        <v>530</v>
      </c>
      <c r="F28">
        <v>2091</v>
      </c>
      <c r="G28" t="s">
        <v>970</v>
      </c>
      <c r="H28" t="s">
        <v>1317</v>
      </c>
      <c r="I28" t="s">
        <v>1345</v>
      </c>
      <c r="K28" t="s">
        <v>1436</v>
      </c>
      <c r="L28">
        <v>1</v>
      </c>
      <c r="M28">
        <v>2</v>
      </c>
      <c r="N28">
        <v>0</v>
      </c>
      <c r="O28" t="s">
        <v>1441</v>
      </c>
      <c r="P28">
        <v>36688</v>
      </c>
      <c r="Q28">
        <v>11207</v>
      </c>
      <c r="R28" t="s">
        <v>1447</v>
      </c>
      <c r="S28" t="s">
        <v>1452</v>
      </c>
      <c r="T28" t="s">
        <v>1463</v>
      </c>
      <c r="U28" t="s">
        <v>1470</v>
      </c>
      <c r="V28" t="s">
        <v>1476</v>
      </c>
      <c r="W28" t="s">
        <v>1491</v>
      </c>
      <c r="Y28" t="s">
        <v>1498</v>
      </c>
      <c r="AA28" t="s">
        <v>1520</v>
      </c>
      <c r="AC28">
        <v>0</v>
      </c>
      <c r="AD28">
        <v>0</v>
      </c>
      <c r="AF28">
        <v>0</v>
      </c>
      <c r="AG28">
        <v>0</v>
      </c>
      <c r="AH28">
        <v>0</v>
      </c>
      <c r="AI28">
        <v>0</v>
      </c>
    </row>
    <row r="29" spans="1:35">
      <c r="A29" s="1">
        <f>HYPERLINK("https://lsnyc.legalserver.org/matter/dynamic-profile/view/1878900","18-1878900")</f>
        <v>0</v>
      </c>
      <c r="B29" t="s">
        <v>35</v>
      </c>
      <c r="C29" t="s">
        <v>41</v>
      </c>
      <c r="D29" t="s">
        <v>92</v>
      </c>
      <c r="E29" t="s">
        <v>531</v>
      </c>
      <c r="F29">
        <v>2094</v>
      </c>
      <c r="G29" t="s">
        <v>995</v>
      </c>
      <c r="H29" t="s">
        <v>1007</v>
      </c>
      <c r="I29" t="s">
        <v>1345</v>
      </c>
      <c r="K29" t="s">
        <v>1436</v>
      </c>
      <c r="L29">
        <v>3</v>
      </c>
      <c r="M29">
        <v>2</v>
      </c>
      <c r="N29">
        <v>0</v>
      </c>
      <c r="O29" t="s">
        <v>1440</v>
      </c>
      <c r="P29">
        <v>65000</v>
      </c>
      <c r="Q29">
        <v>10466</v>
      </c>
      <c r="R29" t="s">
        <v>1445</v>
      </c>
      <c r="S29" t="s">
        <v>1455</v>
      </c>
      <c r="U29" t="s">
        <v>1471</v>
      </c>
      <c r="V29" t="s">
        <v>1472</v>
      </c>
      <c r="Y29" t="s">
        <v>1500</v>
      </c>
      <c r="AA29" t="s">
        <v>1509</v>
      </c>
      <c r="AC29">
        <v>0</v>
      </c>
      <c r="AD29">
        <v>0</v>
      </c>
      <c r="AF29">
        <v>0</v>
      </c>
      <c r="AG29">
        <v>0</v>
      </c>
      <c r="AH29">
        <v>0</v>
      </c>
      <c r="AI29">
        <v>0</v>
      </c>
    </row>
    <row r="30" spans="1:35">
      <c r="A30" s="1">
        <f>HYPERLINK("https://lsnyc.legalserver.org/matter/dynamic-profile/view/1908903","19-1908903")</f>
        <v>0</v>
      </c>
      <c r="B30" t="s">
        <v>35</v>
      </c>
      <c r="C30" t="s">
        <v>39</v>
      </c>
      <c r="D30" t="s">
        <v>93</v>
      </c>
      <c r="E30" t="s">
        <v>532</v>
      </c>
      <c r="F30">
        <v>2094</v>
      </c>
      <c r="G30" t="s">
        <v>993</v>
      </c>
      <c r="H30" t="s">
        <v>1186</v>
      </c>
      <c r="I30" t="s">
        <v>1329</v>
      </c>
      <c r="K30" t="s">
        <v>1436</v>
      </c>
      <c r="L30">
        <v>1</v>
      </c>
      <c r="M30">
        <v>0</v>
      </c>
      <c r="N30">
        <v>0</v>
      </c>
      <c r="O30" t="s">
        <v>1440</v>
      </c>
      <c r="P30">
        <v>30000</v>
      </c>
      <c r="Q30">
        <v>10030</v>
      </c>
      <c r="R30" t="s">
        <v>1449</v>
      </c>
      <c r="S30" t="s">
        <v>1461</v>
      </c>
      <c r="T30" t="s">
        <v>1465</v>
      </c>
      <c r="U30" t="s">
        <v>1470</v>
      </c>
      <c r="Y30" t="s">
        <v>1498</v>
      </c>
      <c r="AC30">
        <v>0</v>
      </c>
      <c r="AD30">
        <v>0</v>
      </c>
      <c r="AF30">
        <v>0</v>
      </c>
      <c r="AG30">
        <v>0</v>
      </c>
      <c r="AH30">
        <v>0</v>
      </c>
      <c r="AI30">
        <v>0</v>
      </c>
    </row>
    <row r="31" spans="1:35">
      <c r="A31" s="1">
        <f>HYPERLINK("https://lsnyc.legalserver.org/matter/dynamic-profile/view/1908915","19-1908915")</f>
        <v>0</v>
      </c>
      <c r="B31" t="s">
        <v>35</v>
      </c>
      <c r="C31" t="s">
        <v>39</v>
      </c>
      <c r="D31" t="s">
        <v>94</v>
      </c>
      <c r="E31" t="s">
        <v>533</v>
      </c>
      <c r="F31">
        <v>2094</v>
      </c>
      <c r="G31" t="s">
        <v>993</v>
      </c>
      <c r="H31" t="s">
        <v>1186</v>
      </c>
      <c r="K31" t="s">
        <v>1436</v>
      </c>
      <c r="L31">
        <v>4</v>
      </c>
      <c r="M31">
        <v>1</v>
      </c>
      <c r="N31">
        <v>0</v>
      </c>
      <c r="O31" t="s">
        <v>1441</v>
      </c>
      <c r="P31">
        <v>130000</v>
      </c>
      <c r="Q31">
        <v>10472</v>
      </c>
      <c r="R31" t="s">
        <v>1445</v>
      </c>
      <c r="S31" t="s">
        <v>1462</v>
      </c>
      <c r="T31" t="s">
        <v>1465</v>
      </c>
      <c r="U31" t="s">
        <v>1470</v>
      </c>
      <c r="Y31" t="s">
        <v>1498</v>
      </c>
      <c r="AC31">
        <v>0</v>
      </c>
      <c r="AD31">
        <v>0</v>
      </c>
      <c r="AF31">
        <v>0</v>
      </c>
      <c r="AG31">
        <v>0</v>
      </c>
      <c r="AH31">
        <v>0</v>
      </c>
      <c r="AI31">
        <v>0</v>
      </c>
    </row>
    <row r="32" spans="1:35">
      <c r="A32" s="1">
        <f>HYPERLINK("https://lsnyc.legalserver.org/matter/dynamic-profile/view/1908955","19-1908955")</f>
        <v>0</v>
      </c>
      <c r="B32" t="s">
        <v>35</v>
      </c>
      <c r="C32" t="s">
        <v>39</v>
      </c>
      <c r="D32" t="s">
        <v>95</v>
      </c>
      <c r="E32" t="s">
        <v>534</v>
      </c>
      <c r="F32">
        <v>2094</v>
      </c>
      <c r="G32" t="s">
        <v>993</v>
      </c>
      <c r="H32" t="s">
        <v>1186</v>
      </c>
      <c r="I32" t="s">
        <v>1346</v>
      </c>
      <c r="K32" t="s">
        <v>1436</v>
      </c>
      <c r="L32">
        <v>2</v>
      </c>
      <c r="M32">
        <v>0</v>
      </c>
      <c r="N32">
        <v>0</v>
      </c>
      <c r="O32" t="s">
        <v>1441</v>
      </c>
      <c r="P32">
        <v>48000</v>
      </c>
      <c r="Q32">
        <v>10453</v>
      </c>
      <c r="R32" t="s">
        <v>1445</v>
      </c>
      <c r="S32" t="s">
        <v>1453</v>
      </c>
      <c r="T32" t="s">
        <v>1456</v>
      </c>
      <c r="U32" t="s">
        <v>1475</v>
      </c>
      <c r="Y32" t="s">
        <v>1498</v>
      </c>
      <c r="AC32">
        <v>0</v>
      </c>
      <c r="AD32">
        <v>0</v>
      </c>
      <c r="AF32">
        <v>0</v>
      </c>
      <c r="AG32">
        <v>0</v>
      </c>
      <c r="AH32">
        <v>0</v>
      </c>
      <c r="AI32">
        <v>0</v>
      </c>
    </row>
    <row r="33" spans="1:35">
      <c r="A33" s="1">
        <f>HYPERLINK("https://lsnyc.legalserver.org/matter/dynamic-profile/view/1893272","19-1893272")</f>
        <v>0</v>
      </c>
      <c r="B33" t="s">
        <v>36</v>
      </c>
      <c r="C33" t="s">
        <v>40</v>
      </c>
      <c r="D33" t="s">
        <v>96</v>
      </c>
      <c r="E33" t="s">
        <v>535</v>
      </c>
      <c r="F33">
        <v>2093</v>
      </c>
      <c r="G33" t="s">
        <v>996</v>
      </c>
      <c r="H33" t="s">
        <v>1315</v>
      </c>
      <c r="I33" t="s">
        <v>1332</v>
      </c>
      <c r="K33" t="s">
        <v>1436</v>
      </c>
      <c r="L33">
        <v>2</v>
      </c>
      <c r="M33">
        <v>0</v>
      </c>
      <c r="N33">
        <v>1</v>
      </c>
      <c r="O33" t="s">
        <v>1440</v>
      </c>
      <c r="P33">
        <v>28670.2</v>
      </c>
      <c r="Q33">
        <v>11412</v>
      </c>
      <c r="R33" t="s">
        <v>1446</v>
      </c>
      <c r="S33" t="s">
        <v>1457</v>
      </c>
      <c r="U33" t="s">
        <v>1474</v>
      </c>
      <c r="Y33" t="s">
        <v>1505</v>
      </c>
      <c r="AC33">
        <v>0</v>
      </c>
      <c r="AD33">
        <v>0</v>
      </c>
      <c r="AF33">
        <v>0</v>
      </c>
      <c r="AG33">
        <v>0</v>
      </c>
      <c r="AH33">
        <v>0</v>
      </c>
      <c r="AI33">
        <v>0</v>
      </c>
    </row>
    <row r="34" spans="1:35">
      <c r="A34" s="1">
        <f>HYPERLINK("https://lsnyc.legalserver.org/matter/dynamic-profile/view/1905156","19-1905156")</f>
        <v>0</v>
      </c>
      <c r="B34" t="s">
        <v>36</v>
      </c>
      <c r="C34" t="s">
        <v>40</v>
      </c>
      <c r="D34" t="s">
        <v>97</v>
      </c>
      <c r="E34" t="s">
        <v>207</v>
      </c>
      <c r="F34">
        <v>2093</v>
      </c>
      <c r="G34" t="s">
        <v>997</v>
      </c>
      <c r="H34" t="s">
        <v>1184</v>
      </c>
      <c r="I34" t="s">
        <v>1347</v>
      </c>
      <c r="K34" t="s">
        <v>1436</v>
      </c>
      <c r="L34">
        <v>4</v>
      </c>
      <c r="M34">
        <v>1</v>
      </c>
      <c r="N34">
        <v>0</v>
      </c>
      <c r="O34" t="s">
        <v>1441</v>
      </c>
      <c r="P34">
        <v>170000</v>
      </c>
      <c r="Q34">
        <v>11412</v>
      </c>
      <c r="R34" t="s">
        <v>1446</v>
      </c>
      <c r="S34" t="s">
        <v>1452</v>
      </c>
      <c r="U34" t="s">
        <v>1472</v>
      </c>
      <c r="Y34" t="s">
        <v>1502</v>
      </c>
      <c r="AC34">
        <v>0</v>
      </c>
      <c r="AD34">
        <v>0</v>
      </c>
      <c r="AF34">
        <v>0</v>
      </c>
      <c r="AG34">
        <v>0</v>
      </c>
      <c r="AH34">
        <v>0</v>
      </c>
      <c r="AI34">
        <v>0</v>
      </c>
    </row>
    <row r="35" spans="1:35">
      <c r="A35" s="1">
        <f>HYPERLINK("https://lsnyc.legalserver.org/matter/dynamic-profile/view/1905493","19-1905493")</f>
        <v>0</v>
      </c>
      <c r="B35" t="s">
        <v>36</v>
      </c>
      <c r="C35" t="s">
        <v>40</v>
      </c>
      <c r="D35" t="s">
        <v>98</v>
      </c>
      <c r="E35" t="s">
        <v>536</v>
      </c>
      <c r="F35">
        <v>2093</v>
      </c>
      <c r="G35" t="s">
        <v>998</v>
      </c>
      <c r="H35" t="s">
        <v>1184</v>
      </c>
      <c r="I35" t="s">
        <v>1348</v>
      </c>
      <c r="K35" t="s">
        <v>1436</v>
      </c>
      <c r="L35">
        <v>2</v>
      </c>
      <c r="M35">
        <v>0</v>
      </c>
      <c r="N35">
        <v>0</v>
      </c>
      <c r="P35">
        <v>64000</v>
      </c>
      <c r="Q35">
        <v>11422</v>
      </c>
      <c r="R35" t="s">
        <v>1446</v>
      </c>
      <c r="S35" t="s">
        <v>1459</v>
      </c>
      <c r="U35" t="s">
        <v>1472</v>
      </c>
      <c r="Y35" t="s">
        <v>1502</v>
      </c>
      <c r="AC35">
        <v>0</v>
      </c>
      <c r="AD35">
        <v>0</v>
      </c>
      <c r="AF35">
        <v>0</v>
      </c>
      <c r="AG35">
        <v>0</v>
      </c>
      <c r="AH35">
        <v>0</v>
      </c>
      <c r="AI35">
        <v>0</v>
      </c>
    </row>
    <row r="36" spans="1:35">
      <c r="A36" s="1">
        <f>HYPERLINK("https://lsnyc.legalserver.org/matter/dynamic-profile/view/1906011","19-1906011")</f>
        <v>0</v>
      </c>
      <c r="B36" t="s">
        <v>36</v>
      </c>
      <c r="C36" t="s">
        <v>40</v>
      </c>
      <c r="D36" t="s">
        <v>99</v>
      </c>
      <c r="E36" t="s">
        <v>537</v>
      </c>
      <c r="F36">
        <v>2093</v>
      </c>
      <c r="G36" t="s">
        <v>999</v>
      </c>
      <c r="H36" t="s">
        <v>1184</v>
      </c>
      <c r="I36" t="s">
        <v>1338</v>
      </c>
      <c r="K36" t="s">
        <v>1436</v>
      </c>
      <c r="L36">
        <v>1</v>
      </c>
      <c r="M36">
        <v>0</v>
      </c>
      <c r="N36">
        <v>0</v>
      </c>
      <c r="O36" t="s">
        <v>1440</v>
      </c>
      <c r="P36">
        <v>6000</v>
      </c>
      <c r="Q36">
        <v>11429</v>
      </c>
      <c r="R36" t="s">
        <v>1446</v>
      </c>
      <c r="S36" t="s">
        <v>1454</v>
      </c>
      <c r="U36" t="s">
        <v>1470</v>
      </c>
      <c r="Y36" t="s">
        <v>1498</v>
      </c>
      <c r="AC36">
        <v>0</v>
      </c>
      <c r="AD36">
        <v>0</v>
      </c>
      <c r="AF36">
        <v>0</v>
      </c>
      <c r="AG36">
        <v>0</v>
      </c>
      <c r="AH36">
        <v>0</v>
      </c>
      <c r="AI36">
        <v>0</v>
      </c>
    </row>
    <row r="37" spans="1:35">
      <c r="A37" s="1">
        <f>HYPERLINK("https://lsnyc.legalserver.org/matter/dynamic-profile/view/1906969","19-1906969")</f>
        <v>0</v>
      </c>
      <c r="B37" t="s">
        <v>36</v>
      </c>
      <c r="C37" t="s">
        <v>40</v>
      </c>
      <c r="D37" t="s">
        <v>100</v>
      </c>
      <c r="E37" t="s">
        <v>160</v>
      </c>
      <c r="F37">
        <v>2093</v>
      </c>
      <c r="G37" t="s">
        <v>1000</v>
      </c>
      <c r="H37" t="s">
        <v>1184</v>
      </c>
      <c r="I37" t="s">
        <v>1349</v>
      </c>
      <c r="K37" t="s">
        <v>1436</v>
      </c>
      <c r="L37">
        <v>1</v>
      </c>
      <c r="M37">
        <v>1</v>
      </c>
      <c r="N37">
        <v>0</v>
      </c>
      <c r="O37" t="s">
        <v>1440</v>
      </c>
      <c r="P37">
        <v>91000</v>
      </c>
      <c r="Q37">
        <v>11422</v>
      </c>
      <c r="R37" t="s">
        <v>1446</v>
      </c>
      <c r="S37" t="s">
        <v>1454</v>
      </c>
      <c r="U37" t="s">
        <v>1470</v>
      </c>
      <c r="Y37" t="s">
        <v>1506</v>
      </c>
      <c r="AC37">
        <v>0</v>
      </c>
      <c r="AD37">
        <v>0</v>
      </c>
      <c r="AF37">
        <v>0</v>
      </c>
      <c r="AG37">
        <v>0</v>
      </c>
      <c r="AH37">
        <v>0</v>
      </c>
      <c r="AI37">
        <v>0</v>
      </c>
    </row>
    <row r="38" spans="1:35">
      <c r="A38" s="1">
        <f>HYPERLINK("https://lsnyc.legalserver.org/matter/dynamic-profile/view/1907858","19-1907858")</f>
        <v>0</v>
      </c>
      <c r="B38" t="s">
        <v>36</v>
      </c>
      <c r="C38" t="s">
        <v>40</v>
      </c>
      <c r="D38" t="s">
        <v>101</v>
      </c>
      <c r="E38" t="s">
        <v>538</v>
      </c>
      <c r="F38">
        <v>2093</v>
      </c>
      <c r="G38" t="s">
        <v>1001</v>
      </c>
      <c r="H38" t="s">
        <v>1184</v>
      </c>
      <c r="I38" t="s">
        <v>1350</v>
      </c>
      <c r="K38" t="s">
        <v>1436</v>
      </c>
      <c r="L38">
        <v>1</v>
      </c>
      <c r="M38">
        <v>0</v>
      </c>
      <c r="N38">
        <v>0</v>
      </c>
      <c r="O38" t="s">
        <v>1440</v>
      </c>
      <c r="P38">
        <v>71000</v>
      </c>
      <c r="Q38">
        <v>11691</v>
      </c>
      <c r="R38" t="s">
        <v>1446</v>
      </c>
      <c r="S38" t="s">
        <v>1463</v>
      </c>
      <c r="U38" t="s">
        <v>1470</v>
      </c>
      <c r="Y38" t="s">
        <v>1498</v>
      </c>
      <c r="AC38">
        <v>0</v>
      </c>
      <c r="AD38">
        <v>0</v>
      </c>
      <c r="AF38">
        <v>0</v>
      </c>
      <c r="AG38">
        <v>0</v>
      </c>
      <c r="AH38">
        <v>0</v>
      </c>
      <c r="AI38">
        <v>0</v>
      </c>
    </row>
    <row r="39" spans="1:35">
      <c r="A39" s="1">
        <f>HYPERLINK("https://lsnyc.legalserver.org/matter/dynamic-profile/view/1891285","19-1891285")</f>
        <v>0</v>
      </c>
      <c r="B39" t="s">
        <v>37</v>
      </c>
      <c r="C39" t="s">
        <v>50</v>
      </c>
      <c r="D39" t="s">
        <v>102</v>
      </c>
      <c r="E39" t="s">
        <v>539</v>
      </c>
      <c r="F39">
        <v>2091</v>
      </c>
      <c r="G39" t="s">
        <v>1002</v>
      </c>
      <c r="H39" t="s">
        <v>1317</v>
      </c>
      <c r="I39" t="s">
        <v>1351</v>
      </c>
      <c r="K39" t="s">
        <v>1436</v>
      </c>
      <c r="L39">
        <v>3</v>
      </c>
      <c r="M39">
        <v>3</v>
      </c>
      <c r="N39">
        <v>0</v>
      </c>
      <c r="P39">
        <v>60000</v>
      </c>
      <c r="Q39">
        <v>11210</v>
      </c>
      <c r="R39" t="s">
        <v>1447</v>
      </c>
      <c r="S39" t="s">
        <v>1454</v>
      </c>
      <c r="U39" t="s">
        <v>1472</v>
      </c>
      <c r="V39" t="s">
        <v>1484</v>
      </c>
      <c r="Y39" t="s">
        <v>1501</v>
      </c>
      <c r="AA39" t="s">
        <v>1507</v>
      </c>
      <c r="AC39">
        <v>0</v>
      </c>
      <c r="AD39">
        <v>0</v>
      </c>
      <c r="AF39">
        <v>0</v>
      </c>
      <c r="AG39">
        <v>0</v>
      </c>
      <c r="AH39">
        <v>0</v>
      </c>
      <c r="AI39">
        <v>0</v>
      </c>
    </row>
    <row r="40" spans="1:35">
      <c r="A40" s="1">
        <f>HYPERLINK("https://lsnyc.legalserver.org/matter/dynamic-profile/view/1893354","19-1893354")</f>
        <v>0</v>
      </c>
      <c r="B40" t="s">
        <v>37</v>
      </c>
      <c r="C40" t="s">
        <v>54</v>
      </c>
      <c r="D40" t="s">
        <v>103</v>
      </c>
      <c r="E40" t="s">
        <v>540</v>
      </c>
      <c r="F40">
        <v>2091</v>
      </c>
      <c r="G40" t="s">
        <v>1003</v>
      </c>
      <c r="H40" t="s">
        <v>1317</v>
      </c>
      <c r="I40" t="s">
        <v>1352</v>
      </c>
      <c r="K40" t="s">
        <v>1436</v>
      </c>
      <c r="L40">
        <v>2</v>
      </c>
      <c r="M40">
        <v>0</v>
      </c>
      <c r="N40">
        <v>0</v>
      </c>
      <c r="O40" t="s">
        <v>1441</v>
      </c>
      <c r="P40">
        <v>84800</v>
      </c>
      <c r="Q40">
        <v>11203</v>
      </c>
      <c r="R40" t="s">
        <v>1447</v>
      </c>
      <c r="S40" t="s">
        <v>1454</v>
      </c>
      <c r="U40" t="s">
        <v>1470</v>
      </c>
      <c r="Y40" t="s">
        <v>1498</v>
      </c>
      <c r="AC40">
        <v>0</v>
      </c>
      <c r="AD40">
        <v>0</v>
      </c>
      <c r="AF40">
        <v>0</v>
      </c>
      <c r="AG40">
        <v>0</v>
      </c>
      <c r="AH40">
        <v>0</v>
      </c>
      <c r="AI40">
        <v>0</v>
      </c>
    </row>
    <row r="41" spans="1:35">
      <c r="A41" s="1">
        <f>HYPERLINK("https://lsnyc.legalserver.org/matter/dynamic-profile/view/1896919","19-1896919")</f>
        <v>0</v>
      </c>
      <c r="B41" t="s">
        <v>36</v>
      </c>
      <c r="C41" t="s">
        <v>55</v>
      </c>
      <c r="D41" t="s">
        <v>104</v>
      </c>
      <c r="E41" t="s">
        <v>541</v>
      </c>
      <c r="F41">
        <v>2093</v>
      </c>
      <c r="G41" t="s">
        <v>1004</v>
      </c>
      <c r="H41" t="s">
        <v>1186</v>
      </c>
      <c r="I41" t="s">
        <v>1353</v>
      </c>
      <c r="K41" t="s">
        <v>1436</v>
      </c>
      <c r="L41">
        <v>2</v>
      </c>
      <c r="M41">
        <v>2</v>
      </c>
      <c r="N41">
        <v>0</v>
      </c>
      <c r="O41" t="s">
        <v>1440</v>
      </c>
      <c r="P41">
        <v>45000</v>
      </c>
      <c r="Q41">
        <v>11411</v>
      </c>
      <c r="R41" t="s">
        <v>1446</v>
      </c>
      <c r="S41" t="s">
        <v>1454</v>
      </c>
      <c r="U41" t="s">
        <v>1472</v>
      </c>
      <c r="Y41" t="s">
        <v>1502</v>
      </c>
      <c r="AC41">
        <v>0</v>
      </c>
      <c r="AD41">
        <v>0</v>
      </c>
      <c r="AF41">
        <v>0</v>
      </c>
      <c r="AG41">
        <v>0</v>
      </c>
      <c r="AH41">
        <v>0</v>
      </c>
      <c r="AI41">
        <v>0</v>
      </c>
    </row>
    <row r="42" spans="1:35">
      <c r="A42" s="1">
        <f>HYPERLINK("https://lsnyc.legalserver.org/matter/dynamic-profile/view/1905995","19-1905995")</f>
        <v>0</v>
      </c>
      <c r="B42" t="s">
        <v>36</v>
      </c>
      <c r="C42" t="s">
        <v>55</v>
      </c>
      <c r="D42" t="s">
        <v>105</v>
      </c>
      <c r="E42" t="s">
        <v>542</v>
      </c>
      <c r="F42">
        <v>2093</v>
      </c>
      <c r="G42" t="s">
        <v>999</v>
      </c>
      <c r="H42" t="s">
        <v>994</v>
      </c>
      <c r="K42" t="s">
        <v>1436</v>
      </c>
      <c r="L42">
        <v>1</v>
      </c>
      <c r="M42">
        <v>0</v>
      </c>
      <c r="N42">
        <v>0</v>
      </c>
      <c r="O42" t="s">
        <v>1441</v>
      </c>
      <c r="P42">
        <v>27625.52</v>
      </c>
      <c r="Q42">
        <v>6516</v>
      </c>
      <c r="R42" t="s">
        <v>1450</v>
      </c>
      <c r="S42" t="s">
        <v>1458</v>
      </c>
      <c r="U42" t="s">
        <v>1470</v>
      </c>
      <c r="Y42" t="s">
        <v>1498</v>
      </c>
      <c r="AC42">
        <v>0</v>
      </c>
      <c r="AD42">
        <v>0</v>
      </c>
      <c r="AF42">
        <v>0</v>
      </c>
      <c r="AG42">
        <v>0</v>
      </c>
      <c r="AH42">
        <v>0</v>
      </c>
      <c r="AI42">
        <v>0</v>
      </c>
    </row>
    <row r="43" spans="1:35">
      <c r="A43" s="1">
        <f>HYPERLINK("https://lsnyc.legalserver.org/matter/dynamic-profile/view/1877839","18-1877839")</f>
        <v>0</v>
      </c>
      <c r="B43" t="s">
        <v>36</v>
      </c>
      <c r="C43" t="s">
        <v>56</v>
      </c>
      <c r="D43" t="s">
        <v>106</v>
      </c>
      <c r="E43" t="s">
        <v>543</v>
      </c>
      <c r="F43">
        <v>2093</v>
      </c>
      <c r="G43" t="s">
        <v>1005</v>
      </c>
      <c r="H43" t="s">
        <v>1308</v>
      </c>
      <c r="I43" t="s">
        <v>1354</v>
      </c>
      <c r="K43" t="s">
        <v>1436</v>
      </c>
      <c r="L43">
        <v>1</v>
      </c>
      <c r="M43">
        <v>0</v>
      </c>
      <c r="N43">
        <v>0</v>
      </c>
      <c r="O43" t="s">
        <v>1440</v>
      </c>
      <c r="P43">
        <v>31428</v>
      </c>
      <c r="Q43">
        <v>11434</v>
      </c>
      <c r="R43" t="s">
        <v>1446</v>
      </c>
      <c r="S43" t="s">
        <v>1453</v>
      </c>
      <c r="U43" t="s">
        <v>1475</v>
      </c>
      <c r="Y43" t="s">
        <v>1498</v>
      </c>
      <c r="AC43">
        <v>0</v>
      </c>
      <c r="AD43">
        <v>0</v>
      </c>
      <c r="AF43">
        <v>0</v>
      </c>
      <c r="AG43">
        <v>0</v>
      </c>
      <c r="AH43">
        <v>0</v>
      </c>
      <c r="AI43">
        <v>0</v>
      </c>
    </row>
    <row r="44" spans="1:35">
      <c r="A44" s="1">
        <f>HYPERLINK("https://lsnyc.legalserver.org/matter/dynamic-profile/view/1908059","19-1908059")</f>
        <v>0</v>
      </c>
      <c r="B44" t="s">
        <v>36</v>
      </c>
      <c r="C44" t="s">
        <v>55</v>
      </c>
      <c r="D44" t="s">
        <v>107</v>
      </c>
      <c r="E44" t="s">
        <v>544</v>
      </c>
      <c r="F44">
        <v>2093</v>
      </c>
      <c r="G44" t="s">
        <v>1006</v>
      </c>
      <c r="H44" t="s">
        <v>1176</v>
      </c>
      <c r="K44" t="s">
        <v>1436</v>
      </c>
      <c r="L44">
        <v>2</v>
      </c>
      <c r="M44">
        <v>0</v>
      </c>
      <c r="N44">
        <v>0</v>
      </c>
      <c r="O44" t="s">
        <v>1440</v>
      </c>
      <c r="P44">
        <v>96000</v>
      </c>
      <c r="Q44">
        <v>11434</v>
      </c>
      <c r="R44" t="s">
        <v>1446</v>
      </c>
      <c r="S44" t="s">
        <v>1461</v>
      </c>
      <c r="U44" t="s">
        <v>1470</v>
      </c>
      <c r="Y44" t="s">
        <v>1498</v>
      </c>
      <c r="AC44">
        <v>0</v>
      </c>
      <c r="AD44">
        <v>0</v>
      </c>
      <c r="AF44">
        <v>0</v>
      </c>
      <c r="AG44">
        <v>0</v>
      </c>
      <c r="AH44">
        <v>0</v>
      </c>
      <c r="AI44">
        <v>0</v>
      </c>
    </row>
    <row r="45" spans="1:35">
      <c r="A45" s="1">
        <f>HYPERLINK("https://lsnyc.legalserver.org/matter/dynamic-profile/view/1913310","19-1913310")</f>
        <v>0</v>
      </c>
      <c r="B45" t="s">
        <v>37</v>
      </c>
      <c r="C45" t="s">
        <v>57</v>
      </c>
      <c r="D45" t="s">
        <v>67</v>
      </c>
      <c r="E45" t="s">
        <v>545</v>
      </c>
      <c r="F45">
        <v>2091</v>
      </c>
      <c r="G45" t="s">
        <v>1007</v>
      </c>
      <c r="H45" t="s">
        <v>1317</v>
      </c>
      <c r="I45" t="s">
        <v>1336</v>
      </c>
      <c r="K45" t="s">
        <v>1436</v>
      </c>
      <c r="L45">
        <v>4</v>
      </c>
      <c r="M45">
        <v>2</v>
      </c>
      <c r="N45">
        <v>1</v>
      </c>
      <c r="O45" t="s">
        <v>1441</v>
      </c>
      <c r="P45">
        <v>67272</v>
      </c>
      <c r="Q45">
        <v>11203</v>
      </c>
      <c r="R45" t="s">
        <v>1447</v>
      </c>
      <c r="S45" t="s">
        <v>1454</v>
      </c>
      <c r="U45" t="s">
        <v>1476</v>
      </c>
      <c r="V45" t="s">
        <v>1470</v>
      </c>
      <c r="Y45" t="s">
        <v>1507</v>
      </c>
      <c r="AA45" t="s">
        <v>1498</v>
      </c>
      <c r="AC45">
        <v>0</v>
      </c>
      <c r="AD45">
        <v>0</v>
      </c>
      <c r="AF45">
        <v>0</v>
      </c>
      <c r="AG45">
        <v>0</v>
      </c>
      <c r="AH45">
        <v>0</v>
      </c>
      <c r="AI45">
        <v>0</v>
      </c>
    </row>
    <row r="46" spans="1:35">
      <c r="A46" s="1">
        <f>HYPERLINK("https://lsnyc.legalserver.org/matter/dynamic-profile/view/1904586","19-1904586")</f>
        <v>0</v>
      </c>
      <c r="B46" t="s">
        <v>36</v>
      </c>
      <c r="C46" t="s">
        <v>40</v>
      </c>
      <c r="D46" t="s">
        <v>108</v>
      </c>
      <c r="E46" t="s">
        <v>546</v>
      </c>
      <c r="F46">
        <v>2093</v>
      </c>
      <c r="G46" t="s">
        <v>981</v>
      </c>
      <c r="H46" t="s">
        <v>1315</v>
      </c>
      <c r="I46" t="s">
        <v>1355</v>
      </c>
      <c r="K46" t="s">
        <v>1436</v>
      </c>
      <c r="L46">
        <v>4</v>
      </c>
      <c r="M46">
        <v>1</v>
      </c>
      <c r="N46">
        <v>1</v>
      </c>
      <c r="O46" t="s">
        <v>1441</v>
      </c>
      <c r="P46">
        <v>81600</v>
      </c>
      <c r="Q46">
        <v>11413</v>
      </c>
      <c r="R46" t="s">
        <v>1446</v>
      </c>
      <c r="S46" t="s">
        <v>1454</v>
      </c>
      <c r="T46" t="s">
        <v>1463</v>
      </c>
      <c r="U46" t="s">
        <v>1470</v>
      </c>
      <c r="W46" t="s">
        <v>1491</v>
      </c>
      <c r="Y46" t="s">
        <v>1498</v>
      </c>
      <c r="AC46">
        <v>2726.06</v>
      </c>
      <c r="AD46">
        <v>0</v>
      </c>
      <c r="AF46">
        <v>0</v>
      </c>
      <c r="AG46">
        <v>0</v>
      </c>
      <c r="AH46">
        <v>0</v>
      </c>
      <c r="AI46">
        <v>0</v>
      </c>
    </row>
    <row r="47" spans="1:35">
      <c r="A47" s="1">
        <f>HYPERLINK("https://lsnyc.legalserver.org/matter/dynamic-profile/view/1872185","18-1872185")</f>
        <v>0</v>
      </c>
      <c r="B47" t="s">
        <v>35</v>
      </c>
      <c r="C47" t="s">
        <v>46</v>
      </c>
      <c r="D47" t="s">
        <v>109</v>
      </c>
      <c r="E47" t="s">
        <v>547</v>
      </c>
      <c r="F47">
        <v>2094</v>
      </c>
      <c r="G47" t="s">
        <v>1008</v>
      </c>
      <c r="H47" t="s">
        <v>1186</v>
      </c>
      <c r="I47" t="s">
        <v>1356</v>
      </c>
      <c r="K47" t="s">
        <v>1436</v>
      </c>
      <c r="L47">
        <v>2</v>
      </c>
      <c r="M47">
        <v>0</v>
      </c>
      <c r="N47">
        <v>0</v>
      </c>
      <c r="O47" t="s">
        <v>1441</v>
      </c>
      <c r="P47">
        <v>65000</v>
      </c>
      <c r="Q47">
        <v>10472</v>
      </c>
      <c r="R47" t="s">
        <v>1445</v>
      </c>
      <c r="S47" t="s">
        <v>1454</v>
      </c>
      <c r="T47" t="s">
        <v>1468</v>
      </c>
      <c r="U47" t="s">
        <v>1475</v>
      </c>
      <c r="V47" t="s">
        <v>1471</v>
      </c>
      <c r="Y47" t="s">
        <v>1498</v>
      </c>
      <c r="AA47" t="s">
        <v>1508</v>
      </c>
      <c r="AC47">
        <v>0</v>
      </c>
      <c r="AD47">
        <v>0</v>
      </c>
      <c r="AF47">
        <v>0</v>
      </c>
      <c r="AG47">
        <v>0</v>
      </c>
      <c r="AH47">
        <v>0</v>
      </c>
      <c r="AI47">
        <v>0</v>
      </c>
    </row>
    <row r="48" spans="1:35">
      <c r="A48" s="1">
        <f>HYPERLINK("https://lsnyc.legalserver.org/matter/dynamic-profile/view/1901081","19-1901081")</f>
        <v>0</v>
      </c>
      <c r="B48" t="s">
        <v>35</v>
      </c>
      <c r="C48" t="s">
        <v>46</v>
      </c>
      <c r="D48" t="s">
        <v>110</v>
      </c>
      <c r="E48" t="s">
        <v>548</v>
      </c>
      <c r="F48">
        <v>2094</v>
      </c>
      <c r="G48" t="s">
        <v>1009</v>
      </c>
      <c r="H48" t="s">
        <v>1186</v>
      </c>
      <c r="I48" t="s">
        <v>1329</v>
      </c>
      <c r="K48" t="s">
        <v>1436</v>
      </c>
      <c r="L48">
        <v>2</v>
      </c>
      <c r="M48">
        <v>2</v>
      </c>
      <c r="N48">
        <v>1</v>
      </c>
      <c r="O48" t="s">
        <v>1441</v>
      </c>
      <c r="P48">
        <v>31128</v>
      </c>
      <c r="Q48">
        <v>10469</v>
      </c>
      <c r="R48" t="s">
        <v>1445</v>
      </c>
      <c r="S48" t="s">
        <v>1464</v>
      </c>
      <c r="U48" t="s">
        <v>1475</v>
      </c>
      <c r="V48" t="s">
        <v>1482</v>
      </c>
      <c r="Y48" t="s">
        <v>1498</v>
      </c>
      <c r="AA48" t="s">
        <v>1505</v>
      </c>
      <c r="AC48">
        <v>0</v>
      </c>
      <c r="AD48">
        <v>0</v>
      </c>
      <c r="AF48">
        <v>0</v>
      </c>
      <c r="AG48">
        <v>0</v>
      </c>
      <c r="AH48">
        <v>0</v>
      </c>
      <c r="AI48">
        <v>0</v>
      </c>
    </row>
    <row r="49" spans="1:35">
      <c r="A49" s="1">
        <f>HYPERLINK("https://lsnyc.legalserver.org/matter/dynamic-profile/view/1892315","19-1892315")</f>
        <v>0</v>
      </c>
      <c r="B49" t="s">
        <v>35</v>
      </c>
      <c r="C49" t="s">
        <v>41</v>
      </c>
      <c r="D49" t="s">
        <v>111</v>
      </c>
      <c r="E49" t="s">
        <v>549</v>
      </c>
      <c r="F49">
        <v>2094</v>
      </c>
      <c r="G49" t="s">
        <v>1010</v>
      </c>
      <c r="H49" t="s">
        <v>1313</v>
      </c>
      <c r="I49" t="s">
        <v>1357</v>
      </c>
      <c r="K49" t="s">
        <v>1436</v>
      </c>
      <c r="L49">
        <v>1</v>
      </c>
      <c r="M49">
        <v>2</v>
      </c>
      <c r="N49">
        <v>0</v>
      </c>
      <c r="O49" t="s">
        <v>1441</v>
      </c>
      <c r="P49">
        <v>117600</v>
      </c>
      <c r="Q49">
        <v>10466</v>
      </c>
      <c r="R49" t="s">
        <v>1445</v>
      </c>
      <c r="S49" t="s">
        <v>1463</v>
      </c>
      <c r="U49" t="s">
        <v>1472</v>
      </c>
      <c r="V49" t="s">
        <v>1470</v>
      </c>
      <c r="Y49" t="s">
        <v>1502</v>
      </c>
      <c r="AA49" t="s">
        <v>1498</v>
      </c>
      <c r="AC49">
        <v>0</v>
      </c>
      <c r="AD49">
        <v>0</v>
      </c>
      <c r="AF49">
        <v>0</v>
      </c>
      <c r="AG49">
        <v>0</v>
      </c>
      <c r="AH49">
        <v>0</v>
      </c>
      <c r="AI49">
        <v>0</v>
      </c>
    </row>
    <row r="50" spans="1:35">
      <c r="A50" s="1">
        <f>HYPERLINK("https://lsnyc.legalserver.org/matter/dynamic-profile/view/1898788","19-1898788")</f>
        <v>0</v>
      </c>
      <c r="B50" t="s">
        <v>35</v>
      </c>
      <c r="C50" t="s">
        <v>39</v>
      </c>
      <c r="D50" t="s">
        <v>112</v>
      </c>
      <c r="E50" t="s">
        <v>550</v>
      </c>
      <c r="F50">
        <v>2094</v>
      </c>
      <c r="G50" t="s">
        <v>1011</v>
      </c>
      <c r="H50" t="s">
        <v>1319</v>
      </c>
      <c r="I50" t="s">
        <v>1329</v>
      </c>
      <c r="K50" t="s">
        <v>1436</v>
      </c>
      <c r="L50">
        <v>2</v>
      </c>
      <c r="M50">
        <v>0</v>
      </c>
      <c r="N50">
        <v>0</v>
      </c>
      <c r="O50" t="s">
        <v>1439</v>
      </c>
      <c r="P50">
        <v>60000</v>
      </c>
      <c r="Q50">
        <v>10462</v>
      </c>
      <c r="R50" t="s">
        <v>1445</v>
      </c>
      <c r="S50" t="s">
        <v>1453</v>
      </c>
      <c r="U50" t="s">
        <v>1470</v>
      </c>
      <c r="V50" t="s">
        <v>1474</v>
      </c>
      <c r="Y50" t="s">
        <v>1498</v>
      </c>
      <c r="AC50">
        <v>0</v>
      </c>
      <c r="AD50">
        <v>0</v>
      </c>
      <c r="AF50">
        <v>0</v>
      </c>
      <c r="AG50">
        <v>0</v>
      </c>
      <c r="AH50">
        <v>0</v>
      </c>
      <c r="AI50">
        <v>0</v>
      </c>
    </row>
    <row r="51" spans="1:35">
      <c r="A51" s="1">
        <f>HYPERLINK("https://lsnyc.legalserver.org/matter/dynamic-profile/view/1911664","19-1911664")</f>
        <v>0</v>
      </c>
      <c r="B51" t="s">
        <v>37</v>
      </c>
      <c r="C51" t="s">
        <v>58</v>
      </c>
      <c r="D51" t="s">
        <v>113</v>
      </c>
      <c r="E51" t="s">
        <v>551</v>
      </c>
      <c r="F51">
        <v>2091</v>
      </c>
      <c r="G51" t="s">
        <v>1012</v>
      </c>
      <c r="H51" t="s">
        <v>1310</v>
      </c>
      <c r="I51" t="s">
        <v>1336</v>
      </c>
      <c r="K51" t="s">
        <v>1436</v>
      </c>
      <c r="L51">
        <v>2</v>
      </c>
      <c r="M51">
        <v>0</v>
      </c>
      <c r="N51">
        <v>0</v>
      </c>
      <c r="O51" t="s">
        <v>1441</v>
      </c>
      <c r="P51">
        <v>39600</v>
      </c>
      <c r="Q51">
        <v>11208</v>
      </c>
      <c r="R51" t="s">
        <v>1447</v>
      </c>
      <c r="S51" t="s">
        <v>1458</v>
      </c>
      <c r="U51" t="s">
        <v>1470</v>
      </c>
      <c r="Y51" t="s">
        <v>1498</v>
      </c>
      <c r="AC51">
        <v>0</v>
      </c>
      <c r="AD51">
        <v>0</v>
      </c>
      <c r="AF51">
        <v>0</v>
      </c>
      <c r="AG51">
        <v>0</v>
      </c>
      <c r="AH51">
        <v>0</v>
      </c>
      <c r="AI51">
        <v>0</v>
      </c>
    </row>
    <row r="52" spans="1:35">
      <c r="A52" s="1">
        <f>HYPERLINK("https://lsnyc.legalserver.org/matter/dynamic-profile/view/1910985","19-1910985")</f>
        <v>0</v>
      </c>
      <c r="B52" t="s">
        <v>37</v>
      </c>
      <c r="C52" t="s">
        <v>58</v>
      </c>
      <c r="D52" t="s">
        <v>114</v>
      </c>
      <c r="E52" t="s">
        <v>552</v>
      </c>
      <c r="F52">
        <v>2091</v>
      </c>
      <c r="G52" t="s">
        <v>1013</v>
      </c>
      <c r="H52" t="s">
        <v>1259</v>
      </c>
      <c r="K52" t="s">
        <v>1436</v>
      </c>
      <c r="L52">
        <v>1</v>
      </c>
      <c r="M52">
        <v>0</v>
      </c>
      <c r="N52">
        <v>0</v>
      </c>
      <c r="P52">
        <v>30000</v>
      </c>
      <c r="Q52">
        <v>11213</v>
      </c>
      <c r="R52" t="s">
        <v>1447</v>
      </c>
      <c r="S52" t="s">
        <v>1458</v>
      </c>
      <c r="U52" t="s">
        <v>1475</v>
      </c>
      <c r="Y52" t="s">
        <v>1498</v>
      </c>
      <c r="AC52">
        <v>0</v>
      </c>
      <c r="AD52">
        <v>0</v>
      </c>
      <c r="AF52">
        <v>0</v>
      </c>
      <c r="AG52">
        <v>0</v>
      </c>
      <c r="AH52">
        <v>0</v>
      </c>
      <c r="AI52">
        <v>0</v>
      </c>
    </row>
    <row r="53" spans="1:35">
      <c r="A53" s="1">
        <f>HYPERLINK("https://lsnyc.legalserver.org/matter/dynamic-profile/view/1912198","19-1912198")</f>
        <v>0</v>
      </c>
      <c r="B53" t="s">
        <v>37</v>
      </c>
      <c r="C53" t="s">
        <v>54</v>
      </c>
      <c r="D53" t="s">
        <v>115</v>
      </c>
      <c r="E53" t="s">
        <v>553</v>
      </c>
      <c r="F53">
        <v>2091</v>
      </c>
      <c r="G53" t="s">
        <v>985</v>
      </c>
      <c r="H53" t="s">
        <v>1259</v>
      </c>
      <c r="K53" t="s">
        <v>1436</v>
      </c>
      <c r="L53">
        <v>1</v>
      </c>
      <c r="M53">
        <v>0</v>
      </c>
      <c r="N53">
        <v>0</v>
      </c>
      <c r="O53" t="s">
        <v>1441</v>
      </c>
      <c r="P53">
        <v>2340</v>
      </c>
      <c r="Q53">
        <v>11233</v>
      </c>
      <c r="R53" t="s">
        <v>1447</v>
      </c>
      <c r="S53" t="s">
        <v>1464</v>
      </c>
      <c r="T53" t="s">
        <v>1463</v>
      </c>
      <c r="U53" t="s">
        <v>1475</v>
      </c>
      <c r="AC53">
        <v>0</v>
      </c>
      <c r="AD53">
        <v>0</v>
      </c>
      <c r="AF53">
        <v>0</v>
      </c>
      <c r="AG53">
        <v>0</v>
      </c>
      <c r="AH53">
        <v>0</v>
      </c>
      <c r="AI53">
        <v>0</v>
      </c>
    </row>
    <row r="54" spans="1:35">
      <c r="A54" s="1">
        <f>HYPERLINK("https://lsnyc.legalserver.org/matter/dynamic-profile/view/1911363","19-1911363")</f>
        <v>0</v>
      </c>
      <c r="B54" t="s">
        <v>37</v>
      </c>
      <c r="C54" t="s">
        <v>58</v>
      </c>
      <c r="D54" t="s">
        <v>116</v>
      </c>
      <c r="E54" t="s">
        <v>554</v>
      </c>
      <c r="F54">
        <v>2091</v>
      </c>
      <c r="G54" t="s">
        <v>1014</v>
      </c>
      <c r="H54" t="s">
        <v>1259</v>
      </c>
      <c r="I54" t="s">
        <v>1342</v>
      </c>
      <c r="K54" t="s">
        <v>1436</v>
      </c>
      <c r="L54">
        <v>2</v>
      </c>
      <c r="M54">
        <v>0</v>
      </c>
      <c r="N54">
        <v>0</v>
      </c>
      <c r="O54" t="s">
        <v>1442</v>
      </c>
      <c r="P54">
        <v>16800</v>
      </c>
      <c r="Q54">
        <v>11234</v>
      </c>
      <c r="R54" t="s">
        <v>1447</v>
      </c>
      <c r="S54" t="s">
        <v>1459</v>
      </c>
      <c r="U54" t="s">
        <v>1475</v>
      </c>
      <c r="Y54" t="s">
        <v>1498</v>
      </c>
      <c r="AC54">
        <v>0</v>
      </c>
      <c r="AD54">
        <v>0</v>
      </c>
      <c r="AF54">
        <v>0</v>
      </c>
      <c r="AG54">
        <v>0</v>
      </c>
      <c r="AH54">
        <v>0</v>
      </c>
      <c r="AI54">
        <v>0</v>
      </c>
    </row>
    <row r="55" spans="1:35">
      <c r="A55" s="1">
        <f>HYPERLINK("https://lsnyc.legalserver.org/matter/dynamic-profile/view/1839795","17-1839795")</f>
        <v>0</v>
      </c>
      <c r="B55" t="s">
        <v>37</v>
      </c>
      <c r="C55" t="s">
        <v>54</v>
      </c>
      <c r="D55" t="s">
        <v>117</v>
      </c>
      <c r="E55" t="s">
        <v>555</v>
      </c>
      <c r="F55">
        <v>2091</v>
      </c>
      <c r="G55" t="s">
        <v>1015</v>
      </c>
      <c r="H55" t="s">
        <v>1184</v>
      </c>
      <c r="I55" t="s">
        <v>1358</v>
      </c>
      <c r="K55" t="s">
        <v>1436</v>
      </c>
      <c r="L55">
        <v>1</v>
      </c>
      <c r="M55">
        <v>0</v>
      </c>
      <c r="N55">
        <v>0</v>
      </c>
      <c r="P55">
        <v>29537.5</v>
      </c>
      <c r="Q55">
        <v>11207</v>
      </c>
      <c r="R55" t="s">
        <v>1447</v>
      </c>
      <c r="S55" t="s">
        <v>1454</v>
      </c>
      <c r="U55" t="s">
        <v>1472</v>
      </c>
      <c r="V55" t="s">
        <v>1473</v>
      </c>
      <c r="W55" t="s">
        <v>1491</v>
      </c>
      <c r="Y55" t="s">
        <v>1502</v>
      </c>
      <c r="AA55" t="s">
        <v>1500</v>
      </c>
      <c r="AC55">
        <v>1545.15</v>
      </c>
      <c r="AD55">
        <v>0</v>
      </c>
      <c r="AF55">
        <v>120581</v>
      </c>
      <c r="AG55">
        <v>0</v>
      </c>
      <c r="AH55">
        <v>0</v>
      </c>
      <c r="AI55">
        <v>0</v>
      </c>
    </row>
    <row r="56" spans="1:35">
      <c r="A56" s="1">
        <f>HYPERLINK("https://lsnyc.legalserver.org/matter/dynamic-profile/view/1902089","19-1902089")</f>
        <v>0</v>
      </c>
      <c r="B56" t="s">
        <v>37</v>
      </c>
      <c r="C56" t="s">
        <v>58</v>
      </c>
      <c r="D56" t="s">
        <v>118</v>
      </c>
      <c r="E56" t="s">
        <v>556</v>
      </c>
      <c r="F56">
        <v>2091</v>
      </c>
      <c r="G56" t="s">
        <v>1016</v>
      </c>
      <c r="H56" t="s">
        <v>1184</v>
      </c>
      <c r="I56" t="s">
        <v>1336</v>
      </c>
      <c r="K56" t="s">
        <v>1436</v>
      </c>
      <c r="L56">
        <v>1</v>
      </c>
      <c r="M56">
        <v>2</v>
      </c>
      <c r="N56">
        <v>1</v>
      </c>
      <c r="O56" t="s">
        <v>1441</v>
      </c>
      <c r="P56">
        <v>9600</v>
      </c>
      <c r="Q56">
        <v>11236</v>
      </c>
      <c r="R56" t="s">
        <v>1447</v>
      </c>
      <c r="S56" t="s">
        <v>1458</v>
      </c>
      <c r="T56" t="s">
        <v>1454</v>
      </c>
      <c r="U56" t="s">
        <v>1475</v>
      </c>
      <c r="Y56" t="s">
        <v>1498</v>
      </c>
      <c r="AC56">
        <v>0</v>
      </c>
      <c r="AD56">
        <v>0</v>
      </c>
      <c r="AF56">
        <v>0</v>
      </c>
      <c r="AG56">
        <v>0</v>
      </c>
      <c r="AH56">
        <v>0</v>
      </c>
      <c r="AI56">
        <v>0</v>
      </c>
    </row>
    <row r="57" spans="1:35">
      <c r="A57" s="1">
        <f>HYPERLINK("https://lsnyc.legalserver.org/matter/dynamic-profile/view/0777467","15-0777467")</f>
        <v>0</v>
      </c>
      <c r="B57" t="s">
        <v>37</v>
      </c>
      <c r="C57" t="s">
        <v>42</v>
      </c>
      <c r="D57" t="s">
        <v>119</v>
      </c>
      <c r="E57" t="s">
        <v>557</v>
      </c>
      <c r="F57">
        <v>2091</v>
      </c>
      <c r="G57" t="s">
        <v>1017</v>
      </c>
      <c r="H57" t="s">
        <v>1185</v>
      </c>
      <c r="I57" t="s">
        <v>1337</v>
      </c>
      <c r="K57" t="s">
        <v>1436</v>
      </c>
      <c r="L57">
        <v>2</v>
      </c>
      <c r="M57">
        <v>0</v>
      </c>
      <c r="N57">
        <v>1</v>
      </c>
      <c r="O57" t="s">
        <v>1440</v>
      </c>
      <c r="P57">
        <v>48790.8</v>
      </c>
      <c r="Q57">
        <v>11203</v>
      </c>
      <c r="R57" t="s">
        <v>1447</v>
      </c>
      <c r="S57" t="s">
        <v>1459</v>
      </c>
      <c r="U57" t="s">
        <v>1473</v>
      </c>
      <c r="V57" t="s">
        <v>1472</v>
      </c>
      <c r="W57" t="s">
        <v>1490</v>
      </c>
      <c r="Y57" t="s">
        <v>1499</v>
      </c>
      <c r="AA57" t="s">
        <v>1509</v>
      </c>
      <c r="AC57">
        <v>2130.95</v>
      </c>
      <c r="AD57">
        <v>0</v>
      </c>
      <c r="AF57">
        <v>0</v>
      </c>
      <c r="AG57">
        <v>0</v>
      </c>
      <c r="AH57">
        <v>0</v>
      </c>
      <c r="AI57">
        <v>0</v>
      </c>
    </row>
    <row r="58" spans="1:35">
      <c r="A58" s="1">
        <f>HYPERLINK("https://lsnyc.legalserver.org/matter/dynamic-profile/view/1883048","18-1883048")</f>
        <v>0</v>
      </c>
      <c r="B58" t="s">
        <v>35</v>
      </c>
      <c r="C58" t="s">
        <v>46</v>
      </c>
      <c r="D58" t="s">
        <v>120</v>
      </c>
      <c r="E58" t="s">
        <v>558</v>
      </c>
      <c r="F58">
        <v>2094</v>
      </c>
      <c r="G58" t="s">
        <v>1018</v>
      </c>
      <c r="H58" t="s">
        <v>1320</v>
      </c>
      <c r="I58" t="s">
        <v>1342</v>
      </c>
      <c r="K58" t="s">
        <v>1436</v>
      </c>
      <c r="L58">
        <v>1</v>
      </c>
      <c r="M58">
        <v>0</v>
      </c>
      <c r="N58">
        <v>0</v>
      </c>
      <c r="O58" t="s">
        <v>1441</v>
      </c>
      <c r="P58">
        <v>60000</v>
      </c>
      <c r="Q58">
        <v>10467</v>
      </c>
      <c r="R58" t="s">
        <v>1445</v>
      </c>
      <c r="S58" t="s">
        <v>1453</v>
      </c>
      <c r="T58" t="s">
        <v>1452</v>
      </c>
      <c r="U58" t="s">
        <v>1471</v>
      </c>
      <c r="V58" t="s">
        <v>1473</v>
      </c>
      <c r="W58" t="s">
        <v>1490</v>
      </c>
      <c r="Y58" t="s">
        <v>1500</v>
      </c>
      <c r="AA58" t="s">
        <v>1509</v>
      </c>
      <c r="AC58">
        <v>1013.39</v>
      </c>
      <c r="AD58">
        <v>0</v>
      </c>
      <c r="AF58">
        <v>0</v>
      </c>
      <c r="AG58">
        <v>0</v>
      </c>
      <c r="AH58">
        <v>0</v>
      </c>
      <c r="AI58">
        <v>0</v>
      </c>
    </row>
    <row r="59" spans="1:35">
      <c r="A59" s="1">
        <f>HYPERLINK("https://lsnyc.legalserver.org/matter/dynamic-profile/view/1913508","19-1913508")</f>
        <v>0</v>
      </c>
      <c r="B59" t="s">
        <v>37</v>
      </c>
      <c r="C59" t="s">
        <v>42</v>
      </c>
      <c r="D59" t="s">
        <v>121</v>
      </c>
      <c r="E59" t="s">
        <v>559</v>
      </c>
      <c r="F59">
        <v>2091</v>
      </c>
      <c r="G59" t="s">
        <v>988</v>
      </c>
      <c r="H59" t="s">
        <v>1317</v>
      </c>
      <c r="I59" t="s">
        <v>1359</v>
      </c>
      <c r="K59" t="s">
        <v>1436</v>
      </c>
      <c r="L59">
        <v>4</v>
      </c>
      <c r="M59">
        <v>0</v>
      </c>
      <c r="N59">
        <v>1</v>
      </c>
      <c r="O59" t="s">
        <v>1441</v>
      </c>
      <c r="P59">
        <v>18000</v>
      </c>
      <c r="Q59">
        <v>11216</v>
      </c>
      <c r="R59" t="s">
        <v>1447</v>
      </c>
      <c r="S59" t="s">
        <v>1465</v>
      </c>
      <c r="T59" t="s">
        <v>1463</v>
      </c>
      <c r="U59" t="s">
        <v>1475</v>
      </c>
      <c r="AC59">
        <v>0</v>
      </c>
      <c r="AD59">
        <v>0</v>
      </c>
      <c r="AF59">
        <v>0</v>
      </c>
      <c r="AG59">
        <v>0</v>
      </c>
      <c r="AH59">
        <v>0</v>
      </c>
      <c r="AI59">
        <v>0</v>
      </c>
    </row>
    <row r="60" spans="1:35">
      <c r="A60" s="1">
        <f>HYPERLINK("https://lsnyc.legalserver.org/matter/dynamic-profile/view/1913168","19-1913168")</f>
        <v>0</v>
      </c>
      <c r="B60" t="s">
        <v>37</v>
      </c>
      <c r="C60" t="s">
        <v>54</v>
      </c>
      <c r="D60" t="s">
        <v>122</v>
      </c>
      <c r="E60" t="s">
        <v>560</v>
      </c>
      <c r="F60">
        <v>2091</v>
      </c>
      <c r="G60" t="s">
        <v>1019</v>
      </c>
      <c r="H60" t="s">
        <v>1321</v>
      </c>
      <c r="K60" t="s">
        <v>1436</v>
      </c>
      <c r="L60">
        <v>1</v>
      </c>
      <c r="M60">
        <v>0</v>
      </c>
      <c r="N60">
        <v>1</v>
      </c>
      <c r="P60">
        <v>11580</v>
      </c>
      <c r="Q60">
        <v>11434</v>
      </c>
      <c r="R60" t="s">
        <v>1446</v>
      </c>
      <c r="S60" t="s">
        <v>1460</v>
      </c>
      <c r="U60" t="s">
        <v>1470</v>
      </c>
      <c r="V60" t="s">
        <v>1476</v>
      </c>
      <c r="Y60" t="s">
        <v>1498</v>
      </c>
      <c r="AA60" t="s">
        <v>1507</v>
      </c>
      <c r="AC60">
        <v>0</v>
      </c>
      <c r="AD60">
        <v>0</v>
      </c>
      <c r="AF60">
        <v>0</v>
      </c>
      <c r="AG60">
        <v>0</v>
      </c>
      <c r="AH60">
        <v>0</v>
      </c>
      <c r="AI60">
        <v>0</v>
      </c>
    </row>
    <row r="61" spans="1:35">
      <c r="A61" s="1">
        <f>HYPERLINK("https://lsnyc.legalserver.org/matter/dynamic-profile/view/1904515","19-1904515")</f>
        <v>0</v>
      </c>
      <c r="B61" t="s">
        <v>38</v>
      </c>
      <c r="C61" t="s">
        <v>45</v>
      </c>
      <c r="D61" t="s">
        <v>123</v>
      </c>
      <c r="E61" t="s">
        <v>561</v>
      </c>
      <c r="F61">
        <v>2090</v>
      </c>
      <c r="G61" t="s">
        <v>1020</v>
      </c>
      <c r="H61" t="s">
        <v>1186</v>
      </c>
      <c r="I61" t="s">
        <v>1345</v>
      </c>
      <c r="K61" t="s">
        <v>1436</v>
      </c>
      <c r="L61">
        <v>2</v>
      </c>
      <c r="M61">
        <v>1</v>
      </c>
      <c r="N61">
        <v>0</v>
      </c>
      <c r="O61" t="s">
        <v>1441</v>
      </c>
      <c r="P61">
        <v>41400</v>
      </c>
      <c r="Q61">
        <v>10303</v>
      </c>
      <c r="R61" t="s">
        <v>1448</v>
      </c>
      <c r="S61" t="s">
        <v>1454</v>
      </c>
      <c r="T61" t="s">
        <v>1463</v>
      </c>
      <c r="U61" t="s">
        <v>1470</v>
      </c>
      <c r="Y61" t="s">
        <v>1498</v>
      </c>
      <c r="AC61">
        <v>0</v>
      </c>
      <c r="AD61">
        <v>0</v>
      </c>
      <c r="AF61">
        <v>0</v>
      </c>
      <c r="AG61">
        <v>0</v>
      </c>
      <c r="AH61">
        <v>0</v>
      </c>
      <c r="AI61">
        <v>0</v>
      </c>
    </row>
    <row r="62" spans="1:35">
      <c r="A62" s="1">
        <f>HYPERLINK("https://lsnyc.legalserver.org/matter/dynamic-profile/view/0815194","16-0815194")</f>
        <v>0</v>
      </c>
      <c r="B62" t="s">
        <v>37</v>
      </c>
      <c r="C62" t="s">
        <v>54</v>
      </c>
      <c r="D62" t="s">
        <v>124</v>
      </c>
      <c r="E62" t="s">
        <v>562</v>
      </c>
      <c r="F62">
        <v>2091</v>
      </c>
      <c r="G62" t="s">
        <v>1021</v>
      </c>
      <c r="H62" t="s">
        <v>1187</v>
      </c>
      <c r="K62" t="s">
        <v>1436</v>
      </c>
      <c r="L62">
        <v>2</v>
      </c>
      <c r="M62">
        <v>4</v>
      </c>
      <c r="N62">
        <v>0</v>
      </c>
      <c r="O62" t="s">
        <v>1439</v>
      </c>
      <c r="P62">
        <v>117754</v>
      </c>
      <c r="Q62">
        <v>11233</v>
      </c>
      <c r="R62" t="s">
        <v>1447</v>
      </c>
      <c r="S62" t="s">
        <v>1454</v>
      </c>
      <c r="U62" t="s">
        <v>1473</v>
      </c>
      <c r="V62" t="s">
        <v>1472</v>
      </c>
      <c r="W62" t="s">
        <v>1490</v>
      </c>
      <c r="Y62" t="s">
        <v>1500</v>
      </c>
      <c r="AC62">
        <v>2759</v>
      </c>
      <c r="AD62">
        <v>0</v>
      </c>
      <c r="AF62">
        <v>0</v>
      </c>
      <c r="AG62">
        <v>0</v>
      </c>
      <c r="AH62">
        <v>0</v>
      </c>
      <c r="AI62">
        <v>0</v>
      </c>
    </row>
    <row r="63" spans="1:35">
      <c r="A63" s="1">
        <f>HYPERLINK("https://lsnyc.legalserver.org/matter/dynamic-profile/view/0791270","15-0791270")</f>
        <v>0</v>
      </c>
      <c r="B63" t="s">
        <v>35</v>
      </c>
      <c r="C63" t="s">
        <v>46</v>
      </c>
      <c r="D63" t="s">
        <v>125</v>
      </c>
      <c r="E63" t="s">
        <v>563</v>
      </c>
      <c r="F63">
        <v>2094</v>
      </c>
      <c r="G63" t="s">
        <v>1022</v>
      </c>
      <c r="H63" t="s">
        <v>1322</v>
      </c>
      <c r="I63" t="s">
        <v>1360</v>
      </c>
      <c r="K63" t="s">
        <v>1436</v>
      </c>
      <c r="L63">
        <v>1</v>
      </c>
      <c r="M63">
        <v>0</v>
      </c>
      <c r="N63">
        <v>1</v>
      </c>
      <c r="O63" t="s">
        <v>1440</v>
      </c>
      <c r="P63">
        <v>58000</v>
      </c>
      <c r="Q63">
        <v>10466</v>
      </c>
      <c r="R63" t="s">
        <v>1445</v>
      </c>
      <c r="S63" t="s">
        <v>1452</v>
      </c>
      <c r="T63" t="s">
        <v>1456</v>
      </c>
      <c r="U63" t="s">
        <v>1473</v>
      </c>
      <c r="V63" t="s">
        <v>1486</v>
      </c>
      <c r="W63" t="s">
        <v>1492</v>
      </c>
      <c r="Y63" t="s">
        <v>1508</v>
      </c>
      <c r="AA63" t="s">
        <v>1521</v>
      </c>
      <c r="AC63">
        <v>0</v>
      </c>
      <c r="AD63">
        <v>0</v>
      </c>
      <c r="AF63">
        <v>0</v>
      </c>
      <c r="AG63">
        <v>0</v>
      </c>
      <c r="AH63">
        <v>0</v>
      </c>
      <c r="AI63">
        <v>0</v>
      </c>
    </row>
    <row r="64" spans="1:35">
      <c r="A64" s="1">
        <f>HYPERLINK("https://lsnyc.legalserver.org/matter/dynamic-profile/view/1876464","18-1876464")</f>
        <v>0</v>
      </c>
      <c r="B64" t="s">
        <v>35</v>
      </c>
      <c r="C64" t="s">
        <v>41</v>
      </c>
      <c r="D64" t="s">
        <v>126</v>
      </c>
      <c r="E64" t="s">
        <v>564</v>
      </c>
      <c r="F64">
        <v>2094</v>
      </c>
      <c r="G64" t="s">
        <v>1023</v>
      </c>
      <c r="H64" t="s">
        <v>1186</v>
      </c>
      <c r="I64" t="s">
        <v>1361</v>
      </c>
      <c r="K64" t="s">
        <v>1436</v>
      </c>
      <c r="L64">
        <v>3</v>
      </c>
      <c r="M64">
        <v>0</v>
      </c>
      <c r="N64">
        <v>0</v>
      </c>
      <c r="O64" t="s">
        <v>1442</v>
      </c>
      <c r="P64">
        <v>154200</v>
      </c>
      <c r="Q64">
        <v>10460</v>
      </c>
      <c r="R64" t="s">
        <v>1445</v>
      </c>
      <c r="S64" t="s">
        <v>1454</v>
      </c>
      <c r="T64" t="s">
        <v>1453</v>
      </c>
      <c r="U64" t="s">
        <v>1477</v>
      </c>
      <c r="V64" t="s">
        <v>1470</v>
      </c>
      <c r="Y64" t="s">
        <v>1500</v>
      </c>
      <c r="AA64" t="s">
        <v>1501</v>
      </c>
      <c r="AC64">
        <v>0</v>
      </c>
      <c r="AD64">
        <v>0</v>
      </c>
      <c r="AF64">
        <v>0</v>
      </c>
      <c r="AG64">
        <v>0</v>
      </c>
      <c r="AH64">
        <v>0</v>
      </c>
      <c r="AI64">
        <v>0</v>
      </c>
    </row>
    <row r="65" spans="1:35">
      <c r="A65" s="1">
        <f>HYPERLINK("https://lsnyc.legalserver.org/matter/dynamic-profile/view/1864947","18-1864947")</f>
        <v>0</v>
      </c>
      <c r="B65" t="s">
        <v>38</v>
      </c>
      <c r="C65" t="s">
        <v>48</v>
      </c>
      <c r="D65" t="s">
        <v>127</v>
      </c>
      <c r="E65" t="s">
        <v>565</v>
      </c>
      <c r="F65">
        <v>2090</v>
      </c>
      <c r="G65" t="s">
        <v>1024</v>
      </c>
      <c r="H65" t="s">
        <v>1316</v>
      </c>
      <c r="I65" t="s">
        <v>1362</v>
      </c>
      <c r="K65" t="s">
        <v>1436</v>
      </c>
      <c r="L65">
        <v>3</v>
      </c>
      <c r="M65">
        <v>2</v>
      </c>
      <c r="N65">
        <v>0</v>
      </c>
      <c r="P65">
        <v>84980</v>
      </c>
      <c r="Q65">
        <v>10302</v>
      </c>
      <c r="R65" t="s">
        <v>1448</v>
      </c>
      <c r="S65" t="s">
        <v>1457</v>
      </c>
      <c r="U65" t="s">
        <v>1473</v>
      </c>
      <c r="V65" t="s">
        <v>1472</v>
      </c>
      <c r="Y65" t="s">
        <v>1502</v>
      </c>
      <c r="AA65" t="s">
        <v>1498</v>
      </c>
      <c r="AC65">
        <v>0</v>
      </c>
      <c r="AD65">
        <v>0</v>
      </c>
      <c r="AF65">
        <v>0</v>
      </c>
      <c r="AG65">
        <v>0</v>
      </c>
      <c r="AH65">
        <v>0</v>
      </c>
      <c r="AI65">
        <v>0</v>
      </c>
    </row>
    <row r="66" spans="1:35">
      <c r="A66" s="1">
        <f>HYPERLINK("https://lsnyc.legalserver.org/matter/dynamic-profile/view/1912024","19-1912024")</f>
        <v>0</v>
      </c>
      <c r="B66" t="s">
        <v>37</v>
      </c>
      <c r="C66" t="s">
        <v>42</v>
      </c>
      <c r="D66" t="s">
        <v>128</v>
      </c>
      <c r="E66" t="s">
        <v>566</v>
      </c>
      <c r="F66">
        <v>2091</v>
      </c>
      <c r="G66" t="s">
        <v>1012</v>
      </c>
      <c r="H66" t="s">
        <v>1311</v>
      </c>
      <c r="K66" t="s">
        <v>1436</v>
      </c>
      <c r="L66">
        <v>1</v>
      </c>
      <c r="M66">
        <v>0</v>
      </c>
      <c r="N66">
        <v>0</v>
      </c>
      <c r="O66" t="s">
        <v>1441</v>
      </c>
      <c r="P66">
        <v>42000</v>
      </c>
      <c r="Q66">
        <v>11238</v>
      </c>
      <c r="R66" t="s">
        <v>1447</v>
      </c>
      <c r="S66" t="s">
        <v>1466</v>
      </c>
      <c r="T66" t="s">
        <v>1464</v>
      </c>
      <c r="U66" t="s">
        <v>1475</v>
      </c>
      <c r="AC66">
        <v>0</v>
      </c>
      <c r="AD66">
        <v>0</v>
      </c>
      <c r="AF66">
        <v>0</v>
      </c>
      <c r="AG66">
        <v>0</v>
      </c>
      <c r="AH66">
        <v>0</v>
      </c>
      <c r="AI66">
        <v>0</v>
      </c>
    </row>
    <row r="67" spans="1:35">
      <c r="A67" s="1">
        <f>HYPERLINK("https://lsnyc.legalserver.org/matter/dynamic-profile/view/1911281","19-1911281")</f>
        <v>0</v>
      </c>
      <c r="B67" t="s">
        <v>37</v>
      </c>
      <c r="C67" t="s">
        <v>42</v>
      </c>
      <c r="D67" t="s">
        <v>129</v>
      </c>
      <c r="E67" t="s">
        <v>567</v>
      </c>
      <c r="F67">
        <v>2091</v>
      </c>
      <c r="G67" t="s">
        <v>1025</v>
      </c>
      <c r="H67" t="s">
        <v>1317</v>
      </c>
      <c r="K67" t="s">
        <v>1436</v>
      </c>
      <c r="L67">
        <v>3</v>
      </c>
      <c r="M67">
        <v>0</v>
      </c>
      <c r="N67">
        <v>1</v>
      </c>
      <c r="O67" t="s">
        <v>1441</v>
      </c>
      <c r="P67">
        <v>21821.54</v>
      </c>
      <c r="Q67">
        <v>11212</v>
      </c>
      <c r="R67" t="s">
        <v>1447</v>
      </c>
      <c r="S67" t="s">
        <v>1464</v>
      </c>
      <c r="T67" t="s">
        <v>1453</v>
      </c>
      <c r="U67" t="s">
        <v>1475</v>
      </c>
      <c r="Y67" t="s">
        <v>1498</v>
      </c>
      <c r="AC67">
        <v>0</v>
      </c>
      <c r="AD67">
        <v>0</v>
      </c>
      <c r="AF67">
        <v>0</v>
      </c>
      <c r="AG67">
        <v>0</v>
      </c>
      <c r="AH67">
        <v>0</v>
      </c>
      <c r="AI67">
        <v>0</v>
      </c>
    </row>
    <row r="68" spans="1:35">
      <c r="A68" s="1">
        <f>HYPERLINK("https://lsnyc.legalserver.org/matter/dynamic-profile/view/0820593","16-0820593")</f>
        <v>0</v>
      </c>
      <c r="B68" t="s">
        <v>36</v>
      </c>
      <c r="C68" t="s">
        <v>59</v>
      </c>
      <c r="D68" t="s">
        <v>130</v>
      </c>
      <c r="E68" t="s">
        <v>568</v>
      </c>
      <c r="F68">
        <v>2093</v>
      </c>
      <c r="G68" t="s">
        <v>1026</v>
      </c>
      <c r="H68" t="s">
        <v>1186</v>
      </c>
      <c r="I68" t="s">
        <v>1353</v>
      </c>
      <c r="K68" t="s">
        <v>1436</v>
      </c>
      <c r="L68">
        <v>4</v>
      </c>
      <c r="M68">
        <v>0</v>
      </c>
      <c r="N68">
        <v>0</v>
      </c>
      <c r="O68" t="s">
        <v>1440</v>
      </c>
      <c r="P68">
        <v>68400</v>
      </c>
      <c r="Q68">
        <v>11434</v>
      </c>
      <c r="R68" t="s">
        <v>1446</v>
      </c>
      <c r="S68" t="s">
        <v>1457</v>
      </c>
      <c r="U68" t="s">
        <v>1473</v>
      </c>
      <c r="V68" t="s">
        <v>1472</v>
      </c>
      <c r="W68" t="s">
        <v>1490</v>
      </c>
      <c r="Y68" t="s">
        <v>1500</v>
      </c>
      <c r="AC68">
        <v>2814.85</v>
      </c>
      <c r="AD68">
        <v>0</v>
      </c>
      <c r="AF68">
        <v>0</v>
      </c>
      <c r="AG68">
        <v>0</v>
      </c>
      <c r="AH68">
        <v>0</v>
      </c>
      <c r="AI68">
        <v>0</v>
      </c>
    </row>
    <row r="69" spans="1:35">
      <c r="A69" s="1">
        <f>HYPERLINK("https://lsnyc.legalserver.org/matter/dynamic-profile/view/1849151","17-1849151")</f>
        <v>0</v>
      </c>
      <c r="B69" t="s">
        <v>36</v>
      </c>
      <c r="C69" t="s">
        <v>59</v>
      </c>
      <c r="D69" t="s">
        <v>131</v>
      </c>
      <c r="E69" t="s">
        <v>569</v>
      </c>
      <c r="F69">
        <v>2093</v>
      </c>
      <c r="G69" t="s">
        <v>1027</v>
      </c>
      <c r="H69" t="s">
        <v>1315</v>
      </c>
      <c r="I69" t="s">
        <v>1363</v>
      </c>
      <c r="K69" t="s">
        <v>1436</v>
      </c>
      <c r="L69">
        <v>1</v>
      </c>
      <c r="M69">
        <v>1</v>
      </c>
      <c r="N69">
        <v>0</v>
      </c>
      <c r="O69" t="s">
        <v>1440</v>
      </c>
      <c r="P69">
        <v>19200</v>
      </c>
      <c r="Q69">
        <v>11413</v>
      </c>
      <c r="R69" t="s">
        <v>1446</v>
      </c>
      <c r="S69" t="s">
        <v>1453</v>
      </c>
      <c r="U69" t="s">
        <v>1473</v>
      </c>
      <c r="V69" t="s">
        <v>1472</v>
      </c>
      <c r="Y69" t="s">
        <v>1502</v>
      </c>
      <c r="AA69" t="s">
        <v>1501</v>
      </c>
      <c r="AC69">
        <v>0</v>
      </c>
      <c r="AD69">
        <v>0</v>
      </c>
      <c r="AF69">
        <v>0</v>
      </c>
      <c r="AG69">
        <v>0</v>
      </c>
      <c r="AH69">
        <v>0</v>
      </c>
      <c r="AI69">
        <v>0</v>
      </c>
    </row>
    <row r="70" spans="1:35">
      <c r="A70" s="1">
        <f>HYPERLINK("https://lsnyc.legalserver.org/matter/dynamic-profile/view/1850331","17-1850331")</f>
        <v>0</v>
      </c>
      <c r="B70" t="s">
        <v>36</v>
      </c>
      <c r="C70" t="s">
        <v>52</v>
      </c>
      <c r="D70" t="s">
        <v>132</v>
      </c>
      <c r="E70" t="s">
        <v>570</v>
      </c>
      <c r="F70">
        <v>2093</v>
      </c>
      <c r="G70" t="s">
        <v>1028</v>
      </c>
      <c r="H70" t="s">
        <v>1315</v>
      </c>
      <c r="I70" t="s">
        <v>1336</v>
      </c>
      <c r="K70" t="s">
        <v>1436</v>
      </c>
      <c r="L70">
        <v>1</v>
      </c>
      <c r="M70">
        <v>0</v>
      </c>
      <c r="N70">
        <v>1</v>
      </c>
      <c r="O70" t="s">
        <v>1441</v>
      </c>
      <c r="P70">
        <v>19200</v>
      </c>
      <c r="Q70">
        <v>11434</v>
      </c>
      <c r="R70" t="s">
        <v>1446</v>
      </c>
      <c r="S70" t="s">
        <v>1459</v>
      </c>
      <c r="U70" t="s">
        <v>1478</v>
      </c>
      <c r="Y70" t="s">
        <v>1509</v>
      </c>
      <c r="AA70" t="s">
        <v>1522</v>
      </c>
      <c r="AC70">
        <v>0</v>
      </c>
      <c r="AD70">
        <v>0</v>
      </c>
      <c r="AF70">
        <v>0</v>
      </c>
      <c r="AG70">
        <v>0</v>
      </c>
      <c r="AH70">
        <v>0</v>
      </c>
      <c r="AI70">
        <v>0</v>
      </c>
    </row>
    <row r="71" spans="1:35">
      <c r="A71" s="1">
        <f>HYPERLINK("https://lsnyc.legalserver.org/matter/dynamic-profile/view/1881085","18-1881085")</f>
        <v>0</v>
      </c>
      <c r="B71" t="s">
        <v>38</v>
      </c>
      <c r="C71" t="s">
        <v>45</v>
      </c>
      <c r="D71" t="s">
        <v>133</v>
      </c>
      <c r="E71" t="s">
        <v>571</v>
      </c>
      <c r="F71">
        <v>2090</v>
      </c>
      <c r="G71" t="s">
        <v>1029</v>
      </c>
      <c r="H71" t="s">
        <v>1315</v>
      </c>
      <c r="I71" t="s">
        <v>1345</v>
      </c>
      <c r="K71" t="s">
        <v>1436</v>
      </c>
      <c r="L71">
        <v>1</v>
      </c>
      <c r="M71">
        <v>0</v>
      </c>
      <c r="N71">
        <v>0</v>
      </c>
      <c r="P71">
        <v>34400</v>
      </c>
      <c r="Q71">
        <v>10310</v>
      </c>
      <c r="R71" t="s">
        <v>1448</v>
      </c>
      <c r="S71" t="s">
        <v>1454</v>
      </c>
      <c r="U71" t="s">
        <v>1473</v>
      </c>
      <c r="V71" t="s">
        <v>1474</v>
      </c>
      <c r="Y71" t="s">
        <v>1510</v>
      </c>
      <c r="AA71" t="s">
        <v>1504</v>
      </c>
      <c r="AC71">
        <v>0</v>
      </c>
      <c r="AD71">
        <v>0</v>
      </c>
      <c r="AE71" t="s">
        <v>1527</v>
      </c>
      <c r="AF71">
        <v>0</v>
      </c>
      <c r="AG71">
        <v>0</v>
      </c>
      <c r="AH71">
        <v>0</v>
      </c>
      <c r="AI71">
        <v>0</v>
      </c>
    </row>
    <row r="72" spans="1:35">
      <c r="A72" s="1">
        <f>HYPERLINK("https://lsnyc.legalserver.org/matter/dynamic-profile/view/1883964","18-1883964")</f>
        <v>0</v>
      </c>
      <c r="B72" t="s">
        <v>36</v>
      </c>
      <c r="C72" t="s">
        <v>40</v>
      </c>
      <c r="D72" t="s">
        <v>134</v>
      </c>
      <c r="E72" t="s">
        <v>572</v>
      </c>
      <c r="F72">
        <v>2093</v>
      </c>
      <c r="G72" t="s">
        <v>1030</v>
      </c>
      <c r="H72" t="s">
        <v>1318</v>
      </c>
      <c r="K72" t="s">
        <v>1436</v>
      </c>
      <c r="L72">
        <v>4</v>
      </c>
      <c r="M72">
        <v>2</v>
      </c>
      <c r="N72">
        <v>0</v>
      </c>
      <c r="O72" t="s">
        <v>1441</v>
      </c>
      <c r="P72">
        <v>42800</v>
      </c>
      <c r="Q72">
        <v>11691</v>
      </c>
      <c r="R72" t="s">
        <v>1446</v>
      </c>
      <c r="S72" t="s">
        <v>1454</v>
      </c>
      <c r="U72" t="s">
        <v>1472</v>
      </c>
      <c r="V72" t="s">
        <v>1471</v>
      </c>
      <c r="W72" t="s">
        <v>1492</v>
      </c>
      <c r="Y72" t="s">
        <v>1502</v>
      </c>
      <c r="AC72">
        <v>0</v>
      </c>
      <c r="AD72">
        <v>0</v>
      </c>
      <c r="AF72">
        <v>0</v>
      </c>
      <c r="AG72">
        <v>0</v>
      </c>
      <c r="AH72">
        <v>0</v>
      </c>
      <c r="AI72">
        <v>0</v>
      </c>
    </row>
    <row r="73" spans="1:35">
      <c r="A73" s="1">
        <f>HYPERLINK("https://lsnyc.legalserver.org/matter/dynamic-profile/view/1886320","18-1886320")</f>
        <v>0</v>
      </c>
      <c r="B73" t="s">
        <v>36</v>
      </c>
      <c r="C73" t="s">
        <v>52</v>
      </c>
      <c r="D73" t="s">
        <v>135</v>
      </c>
      <c r="E73" t="s">
        <v>573</v>
      </c>
      <c r="F73">
        <v>2093</v>
      </c>
      <c r="G73" t="s">
        <v>1031</v>
      </c>
      <c r="H73" t="s">
        <v>1317</v>
      </c>
      <c r="I73" t="s">
        <v>1364</v>
      </c>
      <c r="K73" t="s">
        <v>1436</v>
      </c>
      <c r="L73">
        <v>2</v>
      </c>
      <c r="M73">
        <v>0</v>
      </c>
      <c r="N73">
        <v>1</v>
      </c>
      <c r="O73" t="s">
        <v>1440</v>
      </c>
      <c r="P73">
        <v>38400</v>
      </c>
      <c r="Q73">
        <v>11429</v>
      </c>
      <c r="R73" t="s">
        <v>1446</v>
      </c>
      <c r="S73" t="s">
        <v>1464</v>
      </c>
      <c r="U73" t="s">
        <v>1472</v>
      </c>
      <c r="V73" t="s">
        <v>1473</v>
      </c>
      <c r="Y73" t="s">
        <v>1510</v>
      </c>
      <c r="AC73">
        <v>0</v>
      </c>
      <c r="AD73">
        <v>0</v>
      </c>
      <c r="AE73">
        <v>9868.91</v>
      </c>
      <c r="AF73">
        <v>0</v>
      </c>
      <c r="AG73">
        <v>0</v>
      </c>
      <c r="AH73">
        <v>0</v>
      </c>
      <c r="AI73">
        <v>0</v>
      </c>
    </row>
    <row r="74" spans="1:35">
      <c r="A74" s="1">
        <f>HYPERLINK("https://lsnyc.legalserver.org/matter/dynamic-profile/view/1887756","19-1887756")</f>
        <v>0</v>
      </c>
      <c r="B74" t="s">
        <v>36</v>
      </c>
      <c r="C74" t="s">
        <v>55</v>
      </c>
      <c r="D74" t="s">
        <v>136</v>
      </c>
      <c r="E74" t="s">
        <v>574</v>
      </c>
      <c r="F74">
        <v>2093</v>
      </c>
      <c r="G74" t="s">
        <v>1032</v>
      </c>
      <c r="H74" t="s">
        <v>1322</v>
      </c>
      <c r="I74" t="s">
        <v>1352</v>
      </c>
      <c r="K74" t="s">
        <v>1436</v>
      </c>
      <c r="L74">
        <v>3</v>
      </c>
      <c r="M74">
        <v>1</v>
      </c>
      <c r="N74">
        <v>0</v>
      </c>
      <c r="O74" t="s">
        <v>1440</v>
      </c>
      <c r="P74">
        <v>52130</v>
      </c>
      <c r="Q74">
        <v>11413</v>
      </c>
      <c r="R74" t="s">
        <v>1446</v>
      </c>
      <c r="S74" t="s">
        <v>1454</v>
      </c>
      <c r="U74" t="s">
        <v>1473</v>
      </c>
      <c r="V74" t="s">
        <v>1487</v>
      </c>
      <c r="Y74" t="s">
        <v>1510</v>
      </c>
      <c r="AC74">
        <v>0</v>
      </c>
      <c r="AD74">
        <v>0</v>
      </c>
      <c r="AE74">
        <v>20407.58</v>
      </c>
      <c r="AF74">
        <v>0</v>
      </c>
      <c r="AG74">
        <v>0</v>
      </c>
      <c r="AH74">
        <v>0</v>
      </c>
      <c r="AI74">
        <v>0</v>
      </c>
    </row>
    <row r="75" spans="1:35">
      <c r="A75" s="1">
        <f>HYPERLINK("https://lsnyc.legalserver.org/matter/dynamic-profile/view/1889335","19-1889335")</f>
        <v>0</v>
      </c>
      <c r="B75" t="s">
        <v>38</v>
      </c>
      <c r="C75" t="s">
        <v>45</v>
      </c>
      <c r="D75" t="s">
        <v>137</v>
      </c>
      <c r="E75" t="s">
        <v>575</v>
      </c>
      <c r="F75">
        <v>2090</v>
      </c>
      <c r="G75" t="s">
        <v>1033</v>
      </c>
      <c r="H75" t="s">
        <v>1315</v>
      </c>
      <c r="I75" t="s">
        <v>1348</v>
      </c>
      <c r="K75" t="s">
        <v>1436</v>
      </c>
      <c r="L75">
        <v>1</v>
      </c>
      <c r="M75">
        <v>0</v>
      </c>
      <c r="N75">
        <v>0</v>
      </c>
      <c r="O75" t="s">
        <v>1439</v>
      </c>
      <c r="P75">
        <v>32000</v>
      </c>
      <c r="Q75">
        <v>10305</v>
      </c>
      <c r="R75" t="s">
        <v>1448</v>
      </c>
      <c r="S75" t="s">
        <v>1453</v>
      </c>
      <c r="U75" t="s">
        <v>1475</v>
      </c>
      <c r="Y75" t="s">
        <v>1498</v>
      </c>
      <c r="AA75" t="s">
        <v>1520</v>
      </c>
      <c r="AC75">
        <v>0</v>
      </c>
      <c r="AD75">
        <v>0</v>
      </c>
      <c r="AF75">
        <v>0</v>
      </c>
      <c r="AG75">
        <v>0</v>
      </c>
      <c r="AH75">
        <v>0</v>
      </c>
      <c r="AI75">
        <v>0</v>
      </c>
    </row>
    <row r="76" spans="1:35">
      <c r="A76" s="1">
        <f>HYPERLINK("https://lsnyc.legalserver.org/matter/dynamic-profile/view/1896594","19-1896594")</f>
        <v>0</v>
      </c>
      <c r="B76" t="s">
        <v>36</v>
      </c>
      <c r="C76" t="s">
        <v>52</v>
      </c>
      <c r="D76" t="s">
        <v>138</v>
      </c>
      <c r="E76" t="s">
        <v>576</v>
      </c>
      <c r="F76">
        <v>2093</v>
      </c>
      <c r="G76" t="s">
        <v>1034</v>
      </c>
      <c r="H76" t="s">
        <v>1317</v>
      </c>
      <c r="I76" t="s">
        <v>1348</v>
      </c>
      <c r="K76" t="s">
        <v>1436</v>
      </c>
      <c r="L76">
        <v>1</v>
      </c>
      <c r="M76">
        <v>0</v>
      </c>
      <c r="N76">
        <v>0</v>
      </c>
      <c r="O76" t="s">
        <v>1440</v>
      </c>
      <c r="P76">
        <v>95000</v>
      </c>
      <c r="Q76">
        <v>11423</v>
      </c>
      <c r="R76" t="s">
        <v>1446</v>
      </c>
      <c r="S76" t="s">
        <v>1453</v>
      </c>
      <c r="U76" t="s">
        <v>1472</v>
      </c>
      <c r="V76" t="s">
        <v>1473</v>
      </c>
      <c r="Y76" t="s">
        <v>1502</v>
      </c>
      <c r="AA76" t="s">
        <v>1498</v>
      </c>
      <c r="AC76">
        <v>0</v>
      </c>
      <c r="AD76">
        <v>0</v>
      </c>
      <c r="AF76">
        <v>0</v>
      </c>
      <c r="AG76">
        <v>0</v>
      </c>
      <c r="AH76">
        <v>0</v>
      </c>
      <c r="AI76">
        <v>0</v>
      </c>
    </row>
    <row r="77" spans="1:35">
      <c r="A77" s="1">
        <f>HYPERLINK("https://lsnyc.legalserver.org/matter/dynamic-profile/view/1903656","19-1903656")</f>
        <v>0</v>
      </c>
      <c r="B77" t="s">
        <v>36</v>
      </c>
      <c r="C77" t="s">
        <v>40</v>
      </c>
      <c r="D77" t="s">
        <v>139</v>
      </c>
      <c r="E77" t="s">
        <v>577</v>
      </c>
      <c r="F77">
        <v>2093</v>
      </c>
      <c r="G77" t="s">
        <v>1035</v>
      </c>
      <c r="H77" t="s">
        <v>1315</v>
      </c>
      <c r="I77" t="s">
        <v>1338</v>
      </c>
      <c r="J77" t="s">
        <v>1344</v>
      </c>
      <c r="K77" t="s">
        <v>1436</v>
      </c>
      <c r="L77">
        <v>1</v>
      </c>
      <c r="M77">
        <v>0</v>
      </c>
      <c r="N77">
        <v>0</v>
      </c>
      <c r="O77" t="s">
        <v>1440</v>
      </c>
      <c r="P77">
        <v>52623.96</v>
      </c>
      <c r="Q77">
        <v>11434</v>
      </c>
      <c r="R77" t="s">
        <v>1446</v>
      </c>
      <c r="S77" t="s">
        <v>1454</v>
      </c>
      <c r="T77" t="s">
        <v>1453</v>
      </c>
      <c r="U77" t="s">
        <v>1472</v>
      </c>
      <c r="Y77" t="s">
        <v>1510</v>
      </c>
      <c r="AA77" t="s">
        <v>1502</v>
      </c>
      <c r="AC77">
        <v>0</v>
      </c>
      <c r="AD77">
        <v>0</v>
      </c>
      <c r="AE77">
        <v>13500</v>
      </c>
      <c r="AF77">
        <v>0</v>
      </c>
      <c r="AG77">
        <v>0</v>
      </c>
      <c r="AH77">
        <v>0</v>
      </c>
      <c r="AI77">
        <v>0</v>
      </c>
    </row>
    <row r="78" spans="1:35">
      <c r="A78" s="1">
        <f>HYPERLINK("https://lsnyc.legalserver.org/matter/dynamic-profile/view/1906567","19-1906567")</f>
        <v>0</v>
      </c>
      <c r="B78" t="s">
        <v>36</v>
      </c>
      <c r="C78" t="s">
        <v>52</v>
      </c>
      <c r="D78" t="s">
        <v>140</v>
      </c>
      <c r="E78" t="s">
        <v>578</v>
      </c>
      <c r="F78">
        <v>2093</v>
      </c>
      <c r="G78" t="s">
        <v>1036</v>
      </c>
      <c r="H78" t="s">
        <v>1317</v>
      </c>
      <c r="I78" t="s">
        <v>1342</v>
      </c>
      <c r="K78" t="s">
        <v>1436</v>
      </c>
      <c r="L78">
        <v>1</v>
      </c>
      <c r="M78">
        <v>1</v>
      </c>
      <c r="N78">
        <v>1</v>
      </c>
      <c r="P78">
        <v>38400</v>
      </c>
      <c r="Q78">
        <v>11420</v>
      </c>
      <c r="R78" t="s">
        <v>1446</v>
      </c>
      <c r="S78" t="s">
        <v>1461</v>
      </c>
      <c r="U78" t="s">
        <v>1470</v>
      </c>
      <c r="Y78" t="s">
        <v>1498</v>
      </c>
      <c r="AC78">
        <v>0</v>
      </c>
      <c r="AD78">
        <v>0</v>
      </c>
      <c r="AF78">
        <v>0</v>
      </c>
      <c r="AG78">
        <v>0</v>
      </c>
      <c r="AH78">
        <v>0</v>
      </c>
      <c r="AI78">
        <v>0</v>
      </c>
    </row>
    <row r="79" spans="1:35">
      <c r="A79" s="1">
        <f>HYPERLINK("https://lsnyc.legalserver.org/matter/dynamic-profile/view/1907336","19-1907336")</f>
        <v>0</v>
      </c>
      <c r="B79" t="s">
        <v>36</v>
      </c>
      <c r="C79" t="s">
        <v>55</v>
      </c>
      <c r="D79" t="s">
        <v>141</v>
      </c>
      <c r="E79" t="s">
        <v>579</v>
      </c>
      <c r="F79">
        <v>2093</v>
      </c>
      <c r="G79" t="s">
        <v>1037</v>
      </c>
      <c r="H79" t="s">
        <v>1186</v>
      </c>
      <c r="I79" t="s">
        <v>1365</v>
      </c>
      <c r="J79" t="s">
        <v>1365</v>
      </c>
      <c r="K79" t="s">
        <v>1436</v>
      </c>
      <c r="L79">
        <v>1</v>
      </c>
      <c r="M79">
        <v>0</v>
      </c>
      <c r="N79">
        <v>1</v>
      </c>
      <c r="P79">
        <v>15300</v>
      </c>
      <c r="Q79">
        <v>11436</v>
      </c>
      <c r="R79" t="s">
        <v>1446</v>
      </c>
      <c r="S79" t="s">
        <v>1454</v>
      </c>
      <c r="U79" t="s">
        <v>1472</v>
      </c>
      <c r="Y79" t="s">
        <v>1502</v>
      </c>
      <c r="AC79">
        <v>0</v>
      </c>
      <c r="AD79">
        <v>0</v>
      </c>
      <c r="AF79">
        <v>0</v>
      </c>
      <c r="AG79">
        <v>0</v>
      </c>
      <c r="AH79">
        <v>0</v>
      </c>
      <c r="AI79">
        <v>0</v>
      </c>
    </row>
    <row r="80" spans="1:35">
      <c r="A80" s="1">
        <f>HYPERLINK("https://lsnyc.legalserver.org/matter/dynamic-profile/view/1911245","19-1911245")</f>
        <v>0</v>
      </c>
      <c r="B80" t="s">
        <v>36</v>
      </c>
      <c r="C80" t="s">
        <v>52</v>
      </c>
      <c r="D80" t="s">
        <v>142</v>
      </c>
      <c r="E80" t="s">
        <v>580</v>
      </c>
      <c r="F80">
        <v>2093</v>
      </c>
      <c r="G80" t="s">
        <v>1038</v>
      </c>
      <c r="H80" t="s">
        <v>1317</v>
      </c>
      <c r="K80" t="s">
        <v>1436</v>
      </c>
      <c r="L80">
        <v>1</v>
      </c>
      <c r="M80">
        <v>0</v>
      </c>
      <c r="N80">
        <v>0</v>
      </c>
      <c r="O80" t="s">
        <v>1441</v>
      </c>
      <c r="P80">
        <v>33300</v>
      </c>
      <c r="Q80">
        <v>11369</v>
      </c>
      <c r="R80" t="s">
        <v>1446</v>
      </c>
      <c r="S80" t="s">
        <v>1454</v>
      </c>
      <c r="U80" t="s">
        <v>1470</v>
      </c>
      <c r="Y80" t="s">
        <v>1498</v>
      </c>
      <c r="AC80">
        <v>0</v>
      </c>
      <c r="AD80">
        <v>0</v>
      </c>
      <c r="AF80">
        <v>0</v>
      </c>
      <c r="AG80">
        <v>0</v>
      </c>
      <c r="AH80">
        <v>0</v>
      </c>
      <c r="AI80">
        <v>0</v>
      </c>
    </row>
    <row r="81" spans="1:35">
      <c r="A81" s="1">
        <f>HYPERLINK("https://lsnyc.legalserver.org/matter/dynamic-profile/view/1913470","19-1913470")</f>
        <v>0</v>
      </c>
      <c r="B81" t="s">
        <v>36</v>
      </c>
      <c r="C81" t="s">
        <v>52</v>
      </c>
      <c r="D81" t="s">
        <v>143</v>
      </c>
      <c r="E81" t="s">
        <v>569</v>
      </c>
      <c r="F81">
        <v>2093</v>
      </c>
      <c r="G81" t="s">
        <v>1039</v>
      </c>
      <c r="H81" t="s">
        <v>1317</v>
      </c>
      <c r="K81" t="s">
        <v>1436</v>
      </c>
      <c r="L81">
        <v>1</v>
      </c>
      <c r="M81">
        <v>0</v>
      </c>
      <c r="N81">
        <v>1</v>
      </c>
      <c r="O81" t="s">
        <v>1440</v>
      </c>
      <c r="P81">
        <v>26000</v>
      </c>
      <c r="Q81">
        <v>11413</v>
      </c>
      <c r="R81" t="s">
        <v>1446</v>
      </c>
      <c r="S81" t="s">
        <v>1454</v>
      </c>
      <c r="U81" t="s">
        <v>1470</v>
      </c>
      <c r="Y81" t="s">
        <v>1498</v>
      </c>
      <c r="AC81">
        <v>0</v>
      </c>
      <c r="AD81">
        <v>0</v>
      </c>
      <c r="AF81">
        <v>0</v>
      </c>
      <c r="AG81">
        <v>0</v>
      </c>
      <c r="AH81">
        <v>0</v>
      </c>
      <c r="AI81">
        <v>0</v>
      </c>
    </row>
    <row r="82" spans="1:35">
      <c r="A82" s="1">
        <f>HYPERLINK("https://lsnyc.legalserver.org/matter/dynamic-profile/view/1914526","19-1914526")</f>
        <v>0</v>
      </c>
      <c r="B82" t="s">
        <v>36</v>
      </c>
      <c r="C82" t="s">
        <v>55</v>
      </c>
      <c r="D82" t="s">
        <v>144</v>
      </c>
      <c r="E82" t="s">
        <v>581</v>
      </c>
      <c r="F82">
        <v>2093</v>
      </c>
      <c r="G82" t="s">
        <v>1040</v>
      </c>
      <c r="H82" t="s">
        <v>1188</v>
      </c>
      <c r="I82" t="s">
        <v>1355</v>
      </c>
      <c r="K82" t="s">
        <v>1436</v>
      </c>
      <c r="L82">
        <v>2</v>
      </c>
      <c r="M82">
        <v>0</v>
      </c>
      <c r="N82">
        <v>0</v>
      </c>
      <c r="O82" t="s">
        <v>1440</v>
      </c>
      <c r="P82">
        <v>38400</v>
      </c>
      <c r="Q82">
        <v>11413</v>
      </c>
      <c r="R82" t="s">
        <v>1446</v>
      </c>
      <c r="S82" t="s">
        <v>1459</v>
      </c>
      <c r="U82" t="s">
        <v>1470</v>
      </c>
      <c r="V82" t="s">
        <v>1472</v>
      </c>
      <c r="Y82" t="s">
        <v>1502</v>
      </c>
      <c r="AA82" t="s">
        <v>1498</v>
      </c>
      <c r="AC82">
        <v>0</v>
      </c>
      <c r="AD82">
        <v>0</v>
      </c>
      <c r="AF82">
        <v>0</v>
      </c>
      <c r="AG82">
        <v>0</v>
      </c>
      <c r="AH82">
        <v>0</v>
      </c>
      <c r="AI82">
        <v>0</v>
      </c>
    </row>
    <row r="83" spans="1:35">
      <c r="A83" s="1">
        <f>HYPERLINK("https://lsnyc.legalserver.org/matter/dynamic-profile/view/1842225","17-1842225")</f>
        <v>0</v>
      </c>
      <c r="B83" t="s">
        <v>38</v>
      </c>
      <c r="C83" t="s">
        <v>45</v>
      </c>
      <c r="D83" t="s">
        <v>145</v>
      </c>
      <c r="E83" t="s">
        <v>216</v>
      </c>
      <c r="F83">
        <v>2090</v>
      </c>
      <c r="G83" t="s">
        <v>1041</v>
      </c>
      <c r="H83" t="s">
        <v>1323</v>
      </c>
      <c r="I83" t="s">
        <v>1366</v>
      </c>
      <c r="K83" t="s">
        <v>1436</v>
      </c>
      <c r="L83">
        <v>2</v>
      </c>
      <c r="M83">
        <v>0</v>
      </c>
      <c r="N83">
        <v>0</v>
      </c>
      <c r="P83">
        <v>55920</v>
      </c>
      <c r="Q83">
        <v>10304</v>
      </c>
      <c r="R83" t="s">
        <v>1448</v>
      </c>
      <c r="S83" t="s">
        <v>1452</v>
      </c>
      <c r="U83" t="s">
        <v>1473</v>
      </c>
      <c r="V83" t="s">
        <v>1474</v>
      </c>
      <c r="Y83" t="s">
        <v>1511</v>
      </c>
      <c r="AA83" t="s">
        <v>1510</v>
      </c>
      <c r="AC83">
        <v>0</v>
      </c>
      <c r="AD83">
        <v>0</v>
      </c>
      <c r="AE83">
        <v>32724.88</v>
      </c>
      <c r="AF83">
        <v>0</v>
      </c>
      <c r="AG83">
        <v>0</v>
      </c>
      <c r="AH83">
        <v>0</v>
      </c>
      <c r="AI83">
        <v>0</v>
      </c>
    </row>
    <row r="84" spans="1:35">
      <c r="A84" s="1">
        <f>HYPERLINK("https://lsnyc.legalserver.org/matter/dynamic-profile/view/1001556","X07E-1001556")</f>
        <v>0</v>
      </c>
      <c r="B84" t="s">
        <v>35</v>
      </c>
      <c r="C84" t="s">
        <v>39</v>
      </c>
      <c r="D84" t="s">
        <v>146</v>
      </c>
      <c r="E84" t="s">
        <v>582</v>
      </c>
      <c r="F84">
        <v>2094</v>
      </c>
      <c r="G84" t="s">
        <v>1042</v>
      </c>
      <c r="H84" t="s">
        <v>1003</v>
      </c>
      <c r="I84" t="s">
        <v>1367</v>
      </c>
      <c r="K84" t="s">
        <v>1436</v>
      </c>
      <c r="L84">
        <v>1</v>
      </c>
      <c r="M84">
        <v>0</v>
      </c>
      <c r="N84">
        <v>0</v>
      </c>
      <c r="O84" t="s">
        <v>1441</v>
      </c>
      <c r="P84">
        <v>20184</v>
      </c>
      <c r="Q84">
        <v>10456</v>
      </c>
      <c r="R84" t="s">
        <v>1445</v>
      </c>
      <c r="S84" t="s">
        <v>1466</v>
      </c>
      <c r="U84" t="s">
        <v>1478</v>
      </c>
      <c r="Y84" t="s">
        <v>1505</v>
      </c>
      <c r="AA84" t="s">
        <v>1514</v>
      </c>
      <c r="AC84">
        <v>0</v>
      </c>
      <c r="AD84">
        <v>0</v>
      </c>
      <c r="AE84" t="s">
        <v>1528</v>
      </c>
      <c r="AF84">
        <v>0</v>
      </c>
      <c r="AG84">
        <v>0</v>
      </c>
      <c r="AH84">
        <v>0</v>
      </c>
      <c r="AI84">
        <v>0</v>
      </c>
    </row>
    <row r="85" spans="1:35">
      <c r="A85" s="1">
        <f>HYPERLINK("https://lsnyc.legalserver.org/matter/dynamic-profile/view/5001926","X10E-15001926")</f>
        <v>0</v>
      </c>
      <c r="B85" t="s">
        <v>35</v>
      </c>
      <c r="C85" t="s">
        <v>39</v>
      </c>
      <c r="D85" t="s">
        <v>147</v>
      </c>
      <c r="E85" t="s">
        <v>583</v>
      </c>
      <c r="F85">
        <v>2094</v>
      </c>
      <c r="G85" t="s">
        <v>1043</v>
      </c>
      <c r="H85" t="s">
        <v>1188</v>
      </c>
      <c r="I85" t="s">
        <v>1368</v>
      </c>
      <c r="K85" t="s">
        <v>1436</v>
      </c>
      <c r="L85">
        <v>2</v>
      </c>
      <c r="M85">
        <v>0</v>
      </c>
      <c r="N85">
        <v>0</v>
      </c>
      <c r="O85" t="s">
        <v>1440</v>
      </c>
      <c r="P85">
        <v>14400</v>
      </c>
      <c r="Q85">
        <v>10455</v>
      </c>
      <c r="R85" t="s">
        <v>1445</v>
      </c>
      <c r="S85" t="s">
        <v>1466</v>
      </c>
      <c r="U85" t="s">
        <v>1478</v>
      </c>
      <c r="V85" t="s">
        <v>1474</v>
      </c>
      <c r="Y85" t="s">
        <v>1502</v>
      </c>
      <c r="AA85" t="s">
        <v>1498</v>
      </c>
      <c r="AC85">
        <v>0</v>
      </c>
      <c r="AD85">
        <v>0</v>
      </c>
      <c r="AF85">
        <v>0</v>
      </c>
      <c r="AG85">
        <v>0</v>
      </c>
      <c r="AH85">
        <v>0</v>
      </c>
      <c r="AI85">
        <v>0</v>
      </c>
    </row>
    <row r="86" spans="1:35">
      <c r="A86" s="1">
        <f>HYPERLINK("https://lsnyc.legalserver.org/matter/dynamic-profile/view/6002198","Q10E-66002198")</f>
        <v>0</v>
      </c>
      <c r="B86" t="s">
        <v>36</v>
      </c>
      <c r="C86" t="s">
        <v>49</v>
      </c>
      <c r="D86" t="s">
        <v>148</v>
      </c>
      <c r="E86" t="s">
        <v>469</v>
      </c>
      <c r="F86">
        <v>2093</v>
      </c>
      <c r="G86" t="s">
        <v>1044</v>
      </c>
      <c r="H86" t="s">
        <v>1318</v>
      </c>
      <c r="I86" t="s">
        <v>1369</v>
      </c>
      <c r="K86" t="s">
        <v>1436</v>
      </c>
      <c r="L86">
        <v>2</v>
      </c>
      <c r="M86">
        <v>0</v>
      </c>
      <c r="N86">
        <v>0</v>
      </c>
      <c r="P86">
        <v>41232</v>
      </c>
      <c r="Q86">
        <v>11369</v>
      </c>
      <c r="R86" t="s">
        <v>1446</v>
      </c>
      <c r="S86" t="s">
        <v>1459</v>
      </c>
      <c r="U86" t="s">
        <v>1478</v>
      </c>
      <c r="AC86">
        <v>0</v>
      </c>
      <c r="AD86">
        <v>0</v>
      </c>
      <c r="AF86">
        <v>0</v>
      </c>
      <c r="AG86">
        <v>0</v>
      </c>
      <c r="AH86">
        <v>0</v>
      </c>
      <c r="AI86">
        <v>0</v>
      </c>
    </row>
    <row r="87" spans="1:35">
      <c r="A87" s="1">
        <f>HYPERLINK("https://lsnyc.legalserver.org/matter/dynamic-profile/view/0742125","13-0742125")</f>
        <v>0</v>
      </c>
      <c r="B87" t="s">
        <v>36</v>
      </c>
      <c r="C87" t="s">
        <v>55</v>
      </c>
      <c r="D87" t="s">
        <v>149</v>
      </c>
      <c r="E87" t="s">
        <v>584</v>
      </c>
      <c r="F87">
        <v>2093</v>
      </c>
      <c r="G87" t="s">
        <v>1045</v>
      </c>
      <c r="H87" t="s">
        <v>1186</v>
      </c>
      <c r="I87" t="s">
        <v>1370</v>
      </c>
      <c r="J87" t="s">
        <v>1382</v>
      </c>
      <c r="K87" t="s">
        <v>1436</v>
      </c>
      <c r="L87">
        <v>1</v>
      </c>
      <c r="M87">
        <v>1</v>
      </c>
      <c r="N87">
        <v>1</v>
      </c>
      <c r="O87" t="s">
        <v>1441</v>
      </c>
      <c r="P87">
        <v>22400</v>
      </c>
      <c r="Q87">
        <v>11433</v>
      </c>
      <c r="R87" t="s">
        <v>1446</v>
      </c>
      <c r="S87" t="s">
        <v>1464</v>
      </c>
      <c r="U87" t="s">
        <v>1478</v>
      </c>
      <c r="V87" t="s">
        <v>1471</v>
      </c>
      <c r="W87" t="s">
        <v>1492</v>
      </c>
      <c r="Y87" t="s">
        <v>1501</v>
      </c>
      <c r="AA87" t="s">
        <v>1498</v>
      </c>
      <c r="AC87">
        <v>0</v>
      </c>
      <c r="AD87">
        <v>0</v>
      </c>
      <c r="AF87">
        <v>0</v>
      </c>
      <c r="AG87">
        <v>0</v>
      </c>
      <c r="AH87">
        <v>0</v>
      </c>
      <c r="AI87">
        <v>0</v>
      </c>
    </row>
    <row r="88" spans="1:35">
      <c r="A88" s="1">
        <f>HYPERLINK("https://lsnyc.legalserver.org/matter/dynamic-profile/view/0742223","13-0742223")</f>
        <v>0</v>
      </c>
      <c r="B88" t="s">
        <v>37</v>
      </c>
      <c r="C88" t="s">
        <v>42</v>
      </c>
      <c r="D88" t="s">
        <v>150</v>
      </c>
      <c r="E88" t="s">
        <v>585</v>
      </c>
      <c r="F88">
        <v>2091</v>
      </c>
      <c r="G88" t="s">
        <v>1046</v>
      </c>
      <c r="H88" t="s">
        <v>1318</v>
      </c>
      <c r="I88" t="s">
        <v>1371</v>
      </c>
      <c r="K88" t="s">
        <v>1436</v>
      </c>
      <c r="L88">
        <v>1</v>
      </c>
      <c r="M88">
        <v>3</v>
      </c>
      <c r="N88">
        <v>0</v>
      </c>
      <c r="O88" t="s">
        <v>1441</v>
      </c>
      <c r="P88">
        <v>84300</v>
      </c>
      <c r="Q88">
        <v>11203</v>
      </c>
      <c r="R88" t="s">
        <v>1447</v>
      </c>
      <c r="S88" t="s">
        <v>1454</v>
      </c>
      <c r="T88" t="s">
        <v>1458</v>
      </c>
      <c r="U88" t="s">
        <v>1478</v>
      </c>
      <c r="V88" t="s">
        <v>1488</v>
      </c>
      <c r="W88" t="s">
        <v>1492</v>
      </c>
      <c r="Y88" t="s">
        <v>1501</v>
      </c>
      <c r="AA88" t="s">
        <v>1502</v>
      </c>
      <c r="AC88">
        <v>0</v>
      </c>
      <c r="AD88">
        <v>0</v>
      </c>
      <c r="AF88">
        <v>0</v>
      </c>
      <c r="AG88">
        <v>0</v>
      </c>
      <c r="AH88">
        <v>0</v>
      </c>
      <c r="AI88">
        <v>0</v>
      </c>
    </row>
    <row r="89" spans="1:35">
      <c r="A89" s="1">
        <f>HYPERLINK("https://lsnyc.legalserver.org/matter/dynamic-profile/view/0741681","13-0741681")</f>
        <v>0</v>
      </c>
      <c r="B89" t="s">
        <v>37</v>
      </c>
      <c r="C89" t="s">
        <v>57</v>
      </c>
      <c r="D89" t="s">
        <v>151</v>
      </c>
      <c r="E89" t="s">
        <v>586</v>
      </c>
      <c r="F89">
        <v>2091</v>
      </c>
      <c r="G89" t="s">
        <v>1047</v>
      </c>
      <c r="H89" t="s">
        <v>1259</v>
      </c>
      <c r="I89" t="s">
        <v>1372</v>
      </c>
      <c r="K89" t="s">
        <v>1436</v>
      </c>
      <c r="L89">
        <v>1</v>
      </c>
      <c r="M89">
        <v>0</v>
      </c>
      <c r="N89">
        <v>1</v>
      </c>
      <c r="O89" t="s">
        <v>1440</v>
      </c>
      <c r="P89">
        <v>18672</v>
      </c>
      <c r="Q89">
        <v>11236</v>
      </c>
      <c r="R89" t="s">
        <v>1447</v>
      </c>
      <c r="S89" t="s">
        <v>1453</v>
      </c>
      <c r="U89" t="s">
        <v>1478</v>
      </c>
      <c r="V89" t="s">
        <v>1473</v>
      </c>
      <c r="Y89" t="s">
        <v>1512</v>
      </c>
      <c r="AA89" t="s">
        <v>1502</v>
      </c>
      <c r="AC89">
        <v>0</v>
      </c>
      <c r="AD89">
        <v>0</v>
      </c>
      <c r="AF89">
        <v>0</v>
      </c>
      <c r="AG89">
        <v>0</v>
      </c>
      <c r="AH89">
        <v>0</v>
      </c>
      <c r="AI89">
        <v>0</v>
      </c>
    </row>
    <row r="90" spans="1:35">
      <c r="A90" s="1">
        <f>HYPERLINK("https://lsnyc.legalserver.org/matter/dynamic-profile/view/0756422","14-0756422")</f>
        <v>0</v>
      </c>
      <c r="B90" t="s">
        <v>37</v>
      </c>
      <c r="C90" t="s">
        <v>54</v>
      </c>
      <c r="D90" t="s">
        <v>152</v>
      </c>
      <c r="E90" t="s">
        <v>587</v>
      </c>
      <c r="F90">
        <v>2091</v>
      </c>
      <c r="G90" t="s">
        <v>1048</v>
      </c>
      <c r="H90" t="s">
        <v>1185</v>
      </c>
      <c r="I90" t="s">
        <v>1373</v>
      </c>
      <c r="K90" t="s">
        <v>1436</v>
      </c>
      <c r="L90">
        <v>3</v>
      </c>
      <c r="M90">
        <v>0</v>
      </c>
      <c r="N90">
        <v>0</v>
      </c>
      <c r="O90" t="s">
        <v>1441</v>
      </c>
      <c r="P90">
        <v>75000</v>
      </c>
      <c r="Q90">
        <v>11236</v>
      </c>
      <c r="R90" t="s">
        <v>1447</v>
      </c>
      <c r="S90" t="s">
        <v>1453</v>
      </c>
      <c r="T90" t="s">
        <v>1456</v>
      </c>
      <c r="U90" t="s">
        <v>1478</v>
      </c>
      <c r="V90" t="s">
        <v>1473</v>
      </c>
      <c r="W90" t="s">
        <v>1492</v>
      </c>
      <c r="Y90" t="s">
        <v>1502</v>
      </c>
      <c r="AC90">
        <v>0</v>
      </c>
      <c r="AD90">
        <v>0</v>
      </c>
      <c r="AF90">
        <v>0</v>
      </c>
      <c r="AG90">
        <v>0</v>
      </c>
      <c r="AH90">
        <v>0</v>
      </c>
      <c r="AI90">
        <v>0</v>
      </c>
    </row>
    <row r="91" spans="1:35">
      <c r="A91" s="1">
        <f>HYPERLINK("https://lsnyc.legalserver.org/matter/dynamic-profile/view/0757674","14-0757674")</f>
        <v>0</v>
      </c>
      <c r="B91" t="s">
        <v>37</v>
      </c>
      <c r="C91" t="s">
        <v>54</v>
      </c>
      <c r="D91" t="s">
        <v>153</v>
      </c>
      <c r="E91" t="s">
        <v>532</v>
      </c>
      <c r="F91">
        <v>2091</v>
      </c>
      <c r="G91" t="s">
        <v>1049</v>
      </c>
      <c r="H91" t="s">
        <v>1186</v>
      </c>
      <c r="I91" t="s">
        <v>1340</v>
      </c>
      <c r="K91" t="s">
        <v>1436</v>
      </c>
      <c r="L91">
        <v>1</v>
      </c>
      <c r="M91">
        <v>0</v>
      </c>
      <c r="N91">
        <v>0</v>
      </c>
      <c r="O91" t="s">
        <v>1441</v>
      </c>
      <c r="P91">
        <v>12408</v>
      </c>
      <c r="Q91">
        <v>11207</v>
      </c>
      <c r="R91" t="s">
        <v>1447</v>
      </c>
      <c r="S91" t="s">
        <v>1460</v>
      </c>
      <c r="U91" t="s">
        <v>1478</v>
      </c>
      <c r="V91" t="s">
        <v>1471</v>
      </c>
      <c r="W91" t="s">
        <v>1493</v>
      </c>
      <c r="Y91" t="s">
        <v>1500</v>
      </c>
      <c r="AA91" t="s">
        <v>1514</v>
      </c>
      <c r="AC91">
        <v>0</v>
      </c>
      <c r="AD91">
        <v>0</v>
      </c>
      <c r="AF91">
        <v>0</v>
      </c>
      <c r="AG91">
        <v>0</v>
      </c>
      <c r="AH91">
        <v>0</v>
      </c>
      <c r="AI91">
        <v>0</v>
      </c>
    </row>
    <row r="92" spans="1:35">
      <c r="A92" s="1">
        <f>HYPERLINK("https://lsnyc.legalserver.org/matter/dynamic-profile/view/0760937","14-0760937")</f>
        <v>0</v>
      </c>
      <c r="B92" t="s">
        <v>36</v>
      </c>
      <c r="C92" t="s">
        <v>56</v>
      </c>
      <c r="D92" t="s">
        <v>154</v>
      </c>
      <c r="E92" t="s">
        <v>588</v>
      </c>
      <c r="F92">
        <v>2093</v>
      </c>
      <c r="G92" t="s">
        <v>1050</v>
      </c>
      <c r="H92" t="s">
        <v>1186</v>
      </c>
      <c r="I92" t="s">
        <v>1374</v>
      </c>
      <c r="J92" t="s">
        <v>1362</v>
      </c>
      <c r="K92" t="s">
        <v>1436</v>
      </c>
      <c r="L92">
        <v>3</v>
      </c>
      <c r="M92">
        <v>0</v>
      </c>
      <c r="N92">
        <v>0</v>
      </c>
      <c r="O92" t="s">
        <v>1440</v>
      </c>
      <c r="P92">
        <v>108000</v>
      </c>
      <c r="Q92">
        <v>11413</v>
      </c>
      <c r="R92" t="s">
        <v>1446</v>
      </c>
      <c r="S92" t="s">
        <v>1454</v>
      </c>
      <c r="U92" t="s">
        <v>1478</v>
      </c>
      <c r="W92" t="s">
        <v>1492</v>
      </c>
      <c r="Y92" t="s">
        <v>1501</v>
      </c>
      <c r="AC92">
        <v>0</v>
      </c>
      <c r="AD92">
        <v>0</v>
      </c>
      <c r="AF92">
        <v>0</v>
      </c>
      <c r="AG92">
        <v>0</v>
      </c>
      <c r="AH92">
        <v>0</v>
      </c>
      <c r="AI92">
        <v>0</v>
      </c>
    </row>
    <row r="93" spans="1:35">
      <c r="A93" s="1">
        <f>HYPERLINK("https://lsnyc.legalserver.org/matter/dynamic-profile/view/0766557","14-0766557")</f>
        <v>0</v>
      </c>
      <c r="B93" t="s">
        <v>36</v>
      </c>
      <c r="C93" t="s">
        <v>49</v>
      </c>
      <c r="D93" t="s">
        <v>155</v>
      </c>
      <c r="E93" t="s">
        <v>589</v>
      </c>
      <c r="F93">
        <v>2093</v>
      </c>
      <c r="G93" t="s">
        <v>1051</v>
      </c>
      <c r="H93" t="s">
        <v>1311</v>
      </c>
      <c r="I93" t="s">
        <v>1348</v>
      </c>
      <c r="K93" t="s">
        <v>1436</v>
      </c>
      <c r="L93">
        <v>1</v>
      </c>
      <c r="M93">
        <v>0</v>
      </c>
      <c r="N93">
        <v>0</v>
      </c>
      <c r="O93" t="s">
        <v>1440</v>
      </c>
      <c r="P93">
        <v>22800</v>
      </c>
      <c r="Q93">
        <v>11412</v>
      </c>
      <c r="R93" t="s">
        <v>1446</v>
      </c>
      <c r="S93" t="s">
        <v>1460</v>
      </c>
      <c r="U93" t="s">
        <v>1478</v>
      </c>
      <c r="V93" t="s">
        <v>1473</v>
      </c>
      <c r="Y93" t="s">
        <v>1502</v>
      </c>
      <c r="AA93" t="s">
        <v>1498</v>
      </c>
      <c r="AC93">
        <v>0</v>
      </c>
      <c r="AD93">
        <v>0</v>
      </c>
      <c r="AF93">
        <v>0</v>
      </c>
      <c r="AG93">
        <v>0</v>
      </c>
      <c r="AH93">
        <v>0</v>
      </c>
      <c r="AI93">
        <v>0</v>
      </c>
    </row>
    <row r="94" spans="1:35">
      <c r="A94" s="1">
        <f>HYPERLINK("https://lsnyc.legalserver.org/matter/dynamic-profile/view/0768254","14-0768254")</f>
        <v>0</v>
      </c>
      <c r="B94" t="s">
        <v>37</v>
      </c>
      <c r="C94" t="s">
        <v>50</v>
      </c>
      <c r="D94" t="s">
        <v>156</v>
      </c>
      <c r="E94" t="s">
        <v>590</v>
      </c>
      <c r="F94">
        <v>2091</v>
      </c>
      <c r="G94" t="s">
        <v>1052</v>
      </c>
      <c r="H94" t="s">
        <v>1317</v>
      </c>
      <c r="I94" t="s">
        <v>1351</v>
      </c>
      <c r="K94" t="s">
        <v>1436</v>
      </c>
      <c r="L94">
        <v>3</v>
      </c>
      <c r="M94">
        <v>6</v>
      </c>
      <c r="N94">
        <v>0</v>
      </c>
      <c r="O94" t="s">
        <v>1440</v>
      </c>
      <c r="P94">
        <v>45360</v>
      </c>
      <c r="Q94">
        <v>11213</v>
      </c>
      <c r="R94" t="s">
        <v>1447</v>
      </c>
      <c r="S94" t="s">
        <v>1459</v>
      </c>
      <c r="U94" t="s">
        <v>1478</v>
      </c>
      <c r="V94" t="s">
        <v>1476</v>
      </c>
      <c r="Y94" t="s">
        <v>1501</v>
      </c>
      <c r="AA94" t="s">
        <v>1507</v>
      </c>
      <c r="AC94">
        <v>0</v>
      </c>
      <c r="AD94">
        <v>0</v>
      </c>
      <c r="AF94">
        <v>0</v>
      </c>
      <c r="AG94">
        <v>0</v>
      </c>
      <c r="AH94">
        <v>0</v>
      </c>
      <c r="AI94">
        <v>0</v>
      </c>
    </row>
    <row r="95" spans="1:35">
      <c r="A95" s="1">
        <f>HYPERLINK("https://lsnyc.legalserver.org/matter/dynamic-profile/view/0767851","14-0767851")</f>
        <v>0</v>
      </c>
      <c r="B95" t="s">
        <v>37</v>
      </c>
      <c r="C95" t="s">
        <v>50</v>
      </c>
      <c r="D95" t="s">
        <v>157</v>
      </c>
      <c r="E95" t="s">
        <v>591</v>
      </c>
      <c r="F95">
        <v>2091</v>
      </c>
      <c r="G95" t="s">
        <v>1053</v>
      </c>
      <c r="H95" t="s">
        <v>1181</v>
      </c>
      <c r="I95" t="s">
        <v>1362</v>
      </c>
      <c r="K95" t="s">
        <v>1436</v>
      </c>
      <c r="L95">
        <v>4</v>
      </c>
      <c r="M95">
        <v>1</v>
      </c>
      <c r="N95">
        <v>0</v>
      </c>
      <c r="O95" t="s">
        <v>1440</v>
      </c>
      <c r="P95">
        <v>67053.60000000001</v>
      </c>
      <c r="Q95">
        <v>11236</v>
      </c>
      <c r="R95" t="s">
        <v>1447</v>
      </c>
      <c r="S95" t="s">
        <v>1454</v>
      </c>
      <c r="T95" t="s">
        <v>1469</v>
      </c>
      <c r="U95" t="s">
        <v>1474</v>
      </c>
      <c r="V95" t="s">
        <v>1470</v>
      </c>
      <c r="W95" t="s">
        <v>1490</v>
      </c>
      <c r="Y95" t="s">
        <v>1503</v>
      </c>
      <c r="AA95" t="s">
        <v>1498</v>
      </c>
      <c r="AC95">
        <v>1578.38</v>
      </c>
      <c r="AD95">
        <v>0</v>
      </c>
      <c r="AF95">
        <v>0</v>
      </c>
      <c r="AG95">
        <v>0</v>
      </c>
      <c r="AH95">
        <v>0</v>
      </c>
      <c r="AI95">
        <v>0</v>
      </c>
    </row>
    <row r="96" spans="1:35">
      <c r="A96" s="1">
        <f>HYPERLINK("https://lsnyc.legalserver.org/matter/dynamic-profile/view/0769783","15-0769783")</f>
        <v>0</v>
      </c>
      <c r="B96" t="s">
        <v>36</v>
      </c>
      <c r="C96" t="s">
        <v>55</v>
      </c>
      <c r="D96" t="s">
        <v>158</v>
      </c>
      <c r="E96" t="s">
        <v>592</v>
      </c>
      <c r="F96">
        <v>2093</v>
      </c>
      <c r="G96" t="s">
        <v>1054</v>
      </c>
      <c r="H96" t="s">
        <v>1184</v>
      </c>
      <c r="I96" t="s">
        <v>1352</v>
      </c>
      <c r="K96" t="s">
        <v>1436</v>
      </c>
      <c r="L96">
        <v>1</v>
      </c>
      <c r="M96">
        <v>0</v>
      </c>
      <c r="N96">
        <v>0</v>
      </c>
      <c r="O96" t="s">
        <v>1440</v>
      </c>
      <c r="P96">
        <v>26871</v>
      </c>
      <c r="Q96">
        <v>11412</v>
      </c>
      <c r="R96" t="s">
        <v>1446</v>
      </c>
      <c r="S96" t="s">
        <v>1454</v>
      </c>
      <c r="U96" t="s">
        <v>1478</v>
      </c>
      <c r="V96" t="s">
        <v>1472</v>
      </c>
      <c r="Y96" t="s">
        <v>1498</v>
      </c>
      <c r="AA96" t="s">
        <v>1502</v>
      </c>
      <c r="AC96">
        <v>0</v>
      </c>
      <c r="AD96">
        <v>0</v>
      </c>
      <c r="AF96">
        <v>0</v>
      </c>
      <c r="AG96">
        <v>0</v>
      </c>
      <c r="AH96">
        <v>0</v>
      </c>
      <c r="AI96">
        <v>0</v>
      </c>
    </row>
    <row r="97" spans="1:35">
      <c r="A97" s="1">
        <f>HYPERLINK("https://lsnyc.legalserver.org/matter/dynamic-profile/view/0774072","15-0774072")</f>
        <v>0</v>
      </c>
      <c r="B97" t="s">
        <v>37</v>
      </c>
      <c r="C97" t="s">
        <v>50</v>
      </c>
      <c r="D97" t="s">
        <v>159</v>
      </c>
      <c r="E97" t="s">
        <v>593</v>
      </c>
      <c r="F97">
        <v>2091</v>
      </c>
      <c r="G97" t="s">
        <v>1055</v>
      </c>
      <c r="H97" t="s">
        <v>1317</v>
      </c>
      <c r="I97" t="s">
        <v>1330</v>
      </c>
      <c r="K97" t="s">
        <v>1436</v>
      </c>
      <c r="L97">
        <v>1</v>
      </c>
      <c r="M97">
        <v>1</v>
      </c>
      <c r="N97">
        <v>0</v>
      </c>
      <c r="O97" t="s">
        <v>1442</v>
      </c>
      <c r="P97">
        <v>65156</v>
      </c>
      <c r="Q97">
        <v>11226</v>
      </c>
      <c r="R97" t="s">
        <v>1447</v>
      </c>
      <c r="S97" t="s">
        <v>1453</v>
      </c>
      <c r="T97" t="s">
        <v>1463</v>
      </c>
      <c r="U97" t="s">
        <v>1478</v>
      </c>
      <c r="V97" t="s">
        <v>1470</v>
      </c>
      <c r="W97" t="s">
        <v>1493</v>
      </c>
      <c r="Y97" t="s">
        <v>1502</v>
      </c>
      <c r="AA97" t="s">
        <v>1523</v>
      </c>
      <c r="AC97">
        <v>0</v>
      </c>
      <c r="AD97">
        <v>0</v>
      </c>
      <c r="AF97">
        <v>0</v>
      </c>
      <c r="AG97">
        <v>0</v>
      </c>
      <c r="AH97">
        <v>0</v>
      </c>
      <c r="AI97">
        <v>0</v>
      </c>
    </row>
    <row r="98" spans="1:35">
      <c r="A98" s="1">
        <f>HYPERLINK("https://lsnyc.legalserver.org/matter/dynamic-profile/view/0776293","15-0776293")</f>
        <v>0</v>
      </c>
      <c r="B98" t="s">
        <v>37</v>
      </c>
      <c r="C98" t="s">
        <v>57</v>
      </c>
      <c r="D98" t="s">
        <v>160</v>
      </c>
      <c r="E98" t="s">
        <v>532</v>
      </c>
      <c r="F98">
        <v>2091</v>
      </c>
      <c r="G98" t="s">
        <v>1056</v>
      </c>
      <c r="H98" t="s">
        <v>1300</v>
      </c>
      <c r="I98" t="s">
        <v>1347</v>
      </c>
      <c r="K98" t="s">
        <v>1436</v>
      </c>
      <c r="L98">
        <v>2</v>
      </c>
      <c r="M98">
        <v>1</v>
      </c>
      <c r="N98">
        <v>2</v>
      </c>
      <c r="P98">
        <v>49860</v>
      </c>
      <c r="Q98">
        <v>11236</v>
      </c>
      <c r="R98" t="s">
        <v>1447</v>
      </c>
      <c r="S98" t="s">
        <v>1466</v>
      </c>
      <c r="T98" t="s">
        <v>1462</v>
      </c>
      <c r="U98" t="s">
        <v>1478</v>
      </c>
      <c r="V98" t="s">
        <v>1470</v>
      </c>
      <c r="Y98" t="s">
        <v>1512</v>
      </c>
      <c r="AA98" t="s">
        <v>1502</v>
      </c>
      <c r="AC98">
        <v>0</v>
      </c>
      <c r="AD98">
        <v>0</v>
      </c>
      <c r="AF98">
        <v>0</v>
      </c>
      <c r="AG98">
        <v>0</v>
      </c>
      <c r="AH98">
        <v>0</v>
      </c>
      <c r="AI98">
        <v>0</v>
      </c>
    </row>
    <row r="99" spans="1:35">
      <c r="A99" s="1">
        <f>HYPERLINK("https://lsnyc.legalserver.org/matter/dynamic-profile/view/0777969","15-0777969")</f>
        <v>0</v>
      </c>
      <c r="B99" t="s">
        <v>36</v>
      </c>
      <c r="C99" t="s">
        <v>56</v>
      </c>
      <c r="D99" t="s">
        <v>123</v>
      </c>
      <c r="E99" t="s">
        <v>594</v>
      </c>
      <c r="F99">
        <v>2093</v>
      </c>
      <c r="G99" t="s">
        <v>1057</v>
      </c>
      <c r="H99" t="s">
        <v>1317</v>
      </c>
      <c r="I99" t="s">
        <v>1375</v>
      </c>
      <c r="K99" t="s">
        <v>1436</v>
      </c>
      <c r="L99">
        <v>3</v>
      </c>
      <c r="M99">
        <v>1</v>
      </c>
      <c r="N99">
        <v>0</v>
      </c>
      <c r="O99" t="s">
        <v>1440</v>
      </c>
      <c r="P99">
        <v>52000</v>
      </c>
      <c r="Q99">
        <v>11433</v>
      </c>
      <c r="R99" t="s">
        <v>1446</v>
      </c>
      <c r="S99" t="s">
        <v>1454</v>
      </c>
      <c r="U99" t="s">
        <v>1478</v>
      </c>
      <c r="V99" t="s">
        <v>1471</v>
      </c>
      <c r="W99" t="s">
        <v>1490</v>
      </c>
      <c r="Y99" t="s">
        <v>1500</v>
      </c>
      <c r="AA99" t="s">
        <v>1509</v>
      </c>
      <c r="AC99">
        <v>1978</v>
      </c>
      <c r="AD99">
        <v>0</v>
      </c>
      <c r="AF99">
        <v>87334.17999999999</v>
      </c>
      <c r="AG99">
        <v>0</v>
      </c>
      <c r="AH99">
        <v>0</v>
      </c>
      <c r="AI99">
        <v>0</v>
      </c>
    </row>
    <row r="100" spans="1:35">
      <c r="A100" s="1">
        <f>HYPERLINK("https://lsnyc.legalserver.org/matter/dynamic-profile/view/0780456","15-0780456")</f>
        <v>0</v>
      </c>
      <c r="B100" t="s">
        <v>36</v>
      </c>
      <c r="C100" t="s">
        <v>59</v>
      </c>
      <c r="D100" t="s">
        <v>161</v>
      </c>
      <c r="E100" t="s">
        <v>595</v>
      </c>
      <c r="F100">
        <v>2093</v>
      </c>
      <c r="G100" t="s">
        <v>1058</v>
      </c>
      <c r="H100" t="s">
        <v>1186</v>
      </c>
      <c r="I100" t="s">
        <v>1376</v>
      </c>
      <c r="K100" t="s">
        <v>1436</v>
      </c>
      <c r="L100">
        <v>2</v>
      </c>
      <c r="M100">
        <v>0</v>
      </c>
      <c r="N100">
        <v>2</v>
      </c>
      <c r="O100" t="s">
        <v>1440</v>
      </c>
      <c r="P100">
        <v>31200</v>
      </c>
      <c r="Q100">
        <v>11412</v>
      </c>
      <c r="R100" t="s">
        <v>1446</v>
      </c>
      <c r="S100" t="s">
        <v>1460</v>
      </c>
      <c r="U100" t="s">
        <v>1472</v>
      </c>
      <c r="Y100" t="s">
        <v>1502</v>
      </c>
      <c r="AC100">
        <v>0</v>
      </c>
      <c r="AD100">
        <v>0</v>
      </c>
      <c r="AF100">
        <v>0</v>
      </c>
      <c r="AG100">
        <v>0</v>
      </c>
      <c r="AH100">
        <v>0</v>
      </c>
      <c r="AI100">
        <v>0</v>
      </c>
    </row>
    <row r="101" spans="1:35">
      <c r="A101" s="1">
        <f>HYPERLINK("https://lsnyc.legalserver.org/matter/dynamic-profile/view/0781859","15-0781859")</f>
        <v>0</v>
      </c>
      <c r="B101" t="s">
        <v>37</v>
      </c>
      <c r="C101" t="s">
        <v>50</v>
      </c>
      <c r="D101" t="s">
        <v>142</v>
      </c>
      <c r="E101" t="s">
        <v>596</v>
      </c>
      <c r="F101">
        <v>2091</v>
      </c>
      <c r="G101" t="s">
        <v>1059</v>
      </c>
      <c r="H101" t="s">
        <v>1316</v>
      </c>
      <c r="I101" t="s">
        <v>1334</v>
      </c>
      <c r="K101" t="s">
        <v>1436</v>
      </c>
      <c r="L101">
        <v>1</v>
      </c>
      <c r="M101">
        <v>0</v>
      </c>
      <c r="N101">
        <v>0</v>
      </c>
      <c r="O101" t="s">
        <v>1441</v>
      </c>
      <c r="P101">
        <v>24000</v>
      </c>
      <c r="Q101">
        <v>11207</v>
      </c>
      <c r="R101" t="s">
        <v>1447</v>
      </c>
      <c r="S101" t="s">
        <v>1459</v>
      </c>
      <c r="T101" t="s">
        <v>1458</v>
      </c>
      <c r="U101" t="s">
        <v>1478</v>
      </c>
      <c r="V101" t="s">
        <v>1470</v>
      </c>
      <c r="Y101" t="s">
        <v>1502</v>
      </c>
      <c r="AA101" t="s">
        <v>1501</v>
      </c>
      <c r="AC101">
        <v>0</v>
      </c>
      <c r="AD101">
        <v>0</v>
      </c>
      <c r="AF101">
        <v>0</v>
      </c>
      <c r="AG101">
        <v>0</v>
      </c>
      <c r="AH101">
        <v>0</v>
      </c>
      <c r="AI101">
        <v>0</v>
      </c>
    </row>
    <row r="102" spans="1:35">
      <c r="A102" s="1">
        <f>HYPERLINK("https://lsnyc.legalserver.org/matter/dynamic-profile/view/0782526","15-0782526")</f>
        <v>0</v>
      </c>
      <c r="B102" t="s">
        <v>37</v>
      </c>
      <c r="C102" t="s">
        <v>50</v>
      </c>
      <c r="D102" t="s">
        <v>162</v>
      </c>
      <c r="E102" t="s">
        <v>597</v>
      </c>
      <c r="F102">
        <v>2091</v>
      </c>
      <c r="G102" t="s">
        <v>1060</v>
      </c>
      <c r="H102" t="s">
        <v>1318</v>
      </c>
      <c r="I102" t="s">
        <v>1361</v>
      </c>
      <c r="K102" t="s">
        <v>1436</v>
      </c>
      <c r="L102">
        <v>4</v>
      </c>
      <c r="M102">
        <v>4</v>
      </c>
      <c r="N102">
        <v>0</v>
      </c>
      <c r="O102" t="s">
        <v>1441</v>
      </c>
      <c r="P102">
        <v>101534.32</v>
      </c>
      <c r="Q102">
        <v>11226</v>
      </c>
      <c r="R102" t="s">
        <v>1447</v>
      </c>
      <c r="S102" t="s">
        <v>1458</v>
      </c>
      <c r="T102" t="s">
        <v>1454</v>
      </c>
      <c r="U102" t="s">
        <v>1478</v>
      </c>
      <c r="V102" t="s">
        <v>1470</v>
      </c>
      <c r="Y102" t="s">
        <v>1502</v>
      </c>
      <c r="AA102" t="s">
        <v>1501</v>
      </c>
      <c r="AC102">
        <v>0</v>
      </c>
      <c r="AD102">
        <v>0</v>
      </c>
      <c r="AF102">
        <v>0</v>
      </c>
      <c r="AG102">
        <v>0</v>
      </c>
      <c r="AH102">
        <v>0</v>
      </c>
      <c r="AI102">
        <v>0</v>
      </c>
    </row>
    <row r="103" spans="1:35">
      <c r="A103" s="1">
        <f>HYPERLINK("https://lsnyc.legalserver.org/matter/dynamic-profile/view/0783404","15-0783404")</f>
        <v>0</v>
      </c>
      <c r="B103" t="s">
        <v>37</v>
      </c>
      <c r="C103" t="s">
        <v>50</v>
      </c>
      <c r="D103" t="s">
        <v>163</v>
      </c>
      <c r="E103" t="s">
        <v>598</v>
      </c>
      <c r="F103">
        <v>2091</v>
      </c>
      <c r="G103" t="s">
        <v>1061</v>
      </c>
      <c r="H103" t="s">
        <v>1321</v>
      </c>
      <c r="I103" t="s">
        <v>1377</v>
      </c>
      <c r="K103" t="s">
        <v>1436</v>
      </c>
      <c r="L103">
        <v>2</v>
      </c>
      <c r="M103">
        <v>0</v>
      </c>
      <c r="N103">
        <v>0</v>
      </c>
      <c r="O103" t="s">
        <v>1441</v>
      </c>
      <c r="P103">
        <v>14880</v>
      </c>
      <c r="Q103">
        <v>11221</v>
      </c>
      <c r="R103" t="s">
        <v>1447</v>
      </c>
      <c r="S103" t="s">
        <v>1454</v>
      </c>
      <c r="T103" t="s">
        <v>1452</v>
      </c>
      <c r="U103" t="s">
        <v>1479</v>
      </c>
      <c r="V103" t="s">
        <v>1470</v>
      </c>
      <c r="Y103" t="s">
        <v>1502</v>
      </c>
      <c r="AA103" t="s">
        <v>1501</v>
      </c>
      <c r="AC103">
        <v>0</v>
      </c>
      <c r="AD103">
        <v>0</v>
      </c>
      <c r="AF103">
        <v>0</v>
      </c>
      <c r="AG103">
        <v>0</v>
      </c>
      <c r="AH103">
        <v>0</v>
      </c>
      <c r="AI103">
        <v>0</v>
      </c>
    </row>
    <row r="104" spans="1:35">
      <c r="A104" s="1">
        <f>HYPERLINK("https://lsnyc.legalserver.org/matter/dynamic-profile/view/0789081","15-0789081")</f>
        <v>0</v>
      </c>
      <c r="B104" t="s">
        <v>35</v>
      </c>
      <c r="C104" t="s">
        <v>43</v>
      </c>
      <c r="D104" t="s">
        <v>164</v>
      </c>
      <c r="E104" t="s">
        <v>599</v>
      </c>
      <c r="F104">
        <v>2094</v>
      </c>
      <c r="G104" t="s">
        <v>1062</v>
      </c>
      <c r="H104" t="s">
        <v>989</v>
      </c>
      <c r="I104" t="s">
        <v>1378</v>
      </c>
      <c r="K104" t="s">
        <v>1436</v>
      </c>
      <c r="L104">
        <v>1</v>
      </c>
      <c r="M104">
        <v>0</v>
      </c>
      <c r="N104">
        <v>1</v>
      </c>
      <c r="O104" t="s">
        <v>1440</v>
      </c>
      <c r="P104">
        <v>25284</v>
      </c>
      <c r="Q104">
        <v>10466</v>
      </c>
      <c r="R104" t="s">
        <v>1445</v>
      </c>
      <c r="S104" t="s">
        <v>1467</v>
      </c>
      <c r="U104" t="s">
        <v>1474</v>
      </c>
      <c r="V104" t="s">
        <v>1471</v>
      </c>
      <c r="W104" t="s">
        <v>1490</v>
      </c>
      <c r="Y104" t="s">
        <v>1503</v>
      </c>
      <c r="AA104" t="s">
        <v>1500</v>
      </c>
      <c r="AC104">
        <v>1632.93</v>
      </c>
      <c r="AD104">
        <v>0</v>
      </c>
      <c r="AE104" t="s">
        <v>1529</v>
      </c>
      <c r="AF104">
        <v>0</v>
      </c>
      <c r="AG104">
        <v>0</v>
      </c>
      <c r="AH104">
        <v>0</v>
      </c>
      <c r="AI104">
        <v>0</v>
      </c>
    </row>
    <row r="105" spans="1:35">
      <c r="A105" s="1">
        <f>HYPERLINK("https://lsnyc.legalserver.org/matter/dynamic-profile/view/0794584","15-0794584")</f>
        <v>0</v>
      </c>
      <c r="B105" t="s">
        <v>36</v>
      </c>
      <c r="C105" t="s">
        <v>51</v>
      </c>
      <c r="D105" t="s">
        <v>155</v>
      </c>
      <c r="E105" t="s">
        <v>600</v>
      </c>
      <c r="F105">
        <v>2093</v>
      </c>
      <c r="G105" t="s">
        <v>1063</v>
      </c>
      <c r="H105" t="s">
        <v>1311</v>
      </c>
      <c r="K105" t="s">
        <v>1436</v>
      </c>
      <c r="L105">
        <v>1</v>
      </c>
      <c r="M105">
        <v>0</v>
      </c>
      <c r="N105">
        <v>1</v>
      </c>
      <c r="P105">
        <v>8820</v>
      </c>
      <c r="Q105">
        <v>11434</v>
      </c>
      <c r="R105" t="s">
        <v>1446</v>
      </c>
      <c r="S105" t="s">
        <v>1466</v>
      </c>
      <c r="U105" t="s">
        <v>1478</v>
      </c>
      <c r="V105" t="s">
        <v>1480</v>
      </c>
      <c r="Y105" t="s">
        <v>1498</v>
      </c>
      <c r="AC105">
        <v>0</v>
      </c>
      <c r="AD105">
        <v>0</v>
      </c>
      <c r="AF105">
        <v>0</v>
      </c>
      <c r="AG105">
        <v>0</v>
      </c>
      <c r="AH105">
        <v>0</v>
      </c>
      <c r="AI105">
        <v>0</v>
      </c>
    </row>
    <row r="106" spans="1:35">
      <c r="A106" s="1">
        <f>HYPERLINK("https://lsnyc.legalserver.org/matter/dynamic-profile/view/0795713","16-0795713")</f>
        <v>0</v>
      </c>
      <c r="B106" t="s">
        <v>38</v>
      </c>
      <c r="C106" t="s">
        <v>45</v>
      </c>
      <c r="D106" t="s">
        <v>165</v>
      </c>
      <c r="E106" t="s">
        <v>601</v>
      </c>
      <c r="F106">
        <v>2090</v>
      </c>
      <c r="G106" t="s">
        <v>1064</v>
      </c>
      <c r="H106" t="s">
        <v>1313</v>
      </c>
      <c r="I106" t="s">
        <v>1379</v>
      </c>
      <c r="K106" t="s">
        <v>1436</v>
      </c>
      <c r="L106">
        <v>1</v>
      </c>
      <c r="M106">
        <v>1</v>
      </c>
      <c r="N106">
        <v>0</v>
      </c>
      <c r="P106">
        <v>9858.42</v>
      </c>
      <c r="Q106">
        <v>10301</v>
      </c>
      <c r="R106" t="s">
        <v>1448</v>
      </c>
      <c r="S106" t="s">
        <v>1459</v>
      </c>
      <c r="U106" t="s">
        <v>1478</v>
      </c>
      <c r="V106" t="s">
        <v>1470</v>
      </c>
      <c r="Y106" t="s">
        <v>1498</v>
      </c>
      <c r="AA106" t="s">
        <v>1507</v>
      </c>
      <c r="AC106">
        <v>0</v>
      </c>
      <c r="AD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 s="1">
        <f>HYPERLINK("https://lsnyc.legalserver.org/matter/dynamic-profile/view/0797205","16-0797205")</f>
        <v>0</v>
      </c>
      <c r="B107" t="s">
        <v>36</v>
      </c>
      <c r="C107" t="s">
        <v>56</v>
      </c>
      <c r="D107" t="s">
        <v>166</v>
      </c>
      <c r="E107" t="s">
        <v>602</v>
      </c>
      <c r="F107">
        <v>2093</v>
      </c>
      <c r="G107" t="s">
        <v>1065</v>
      </c>
      <c r="H107" t="s">
        <v>1176</v>
      </c>
      <c r="I107" t="s">
        <v>1380</v>
      </c>
      <c r="K107" t="s">
        <v>1436</v>
      </c>
      <c r="L107">
        <v>1</v>
      </c>
      <c r="M107">
        <v>3</v>
      </c>
      <c r="N107">
        <v>0</v>
      </c>
      <c r="O107" t="s">
        <v>1440</v>
      </c>
      <c r="P107">
        <v>109200</v>
      </c>
      <c r="Q107">
        <v>11433</v>
      </c>
      <c r="R107" t="s">
        <v>1446</v>
      </c>
      <c r="S107" t="s">
        <v>1458</v>
      </c>
      <c r="U107" t="s">
        <v>1478</v>
      </c>
      <c r="W107" t="s">
        <v>1493</v>
      </c>
      <c r="AC107">
        <v>0</v>
      </c>
      <c r="AD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A108" s="1">
        <f>HYPERLINK("https://lsnyc.legalserver.org/matter/dynamic-profile/view/0799292","16-0799292")</f>
        <v>0</v>
      </c>
      <c r="B108" t="s">
        <v>36</v>
      </c>
      <c r="C108" t="s">
        <v>59</v>
      </c>
      <c r="D108" t="s">
        <v>167</v>
      </c>
      <c r="E108" t="s">
        <v>603</v>
      </c>
      <c r="F108">
        <v>2093</v>
      </c>
      <c r="G108" t="s">
        <v>1066</v>
      </c>
      <c r="H108" t="s">
        <v>1324</v>
      </c>
      <c r="I108" t="s">
        <v>1347</v>
      </c>
      <c r="K108" t="s">
        <v>1436</v>
      </c>
      <c r="L108">
        <v>3</v>
      </c>
      <c r="M108">
        <v>1</v>
      </c>
      <c r="N108">
        <v>2</v>
      </c>
      <c r="O108" t="s">
        <v>1441</v>
      </c>
      <c r="P108">
        <v>83996</v>
      </c>
      <c r="Q108">
        <v>11691</v>
      </c>
      <c r="R108" t="s">
        <v>1446</v>
      </c>
      <c r="S108" t="s">
        <v>1454</v>
      </c>
      <c r="T108" t="s">
        <v>1455</v>
      </c>
      <c r="U108" t="s">
        <v>1473</v>
      </c>
      <c r="V108" t="s">
        <v>1471</v>
      </c>
      <c r="W108" t="s">
        <v>1490</v>
      </c>
      <c r="Y108" t="s">
        <v>1500</v>
      </c>
      <c r="AC108">
        <v>1665.72</v>
      </c>
      <c r="AD108">
        <v>0</v>
      </c>
      <c r="AF108">
        <v>68250.07000000001</v>
      </c>
      <c r="AG108">
        <v>0</v>
      </c>
      <c r="AH108">
        <v>0</v>
      </c>
      <c r="AI108">
        <v>0</v>
      </c>
    </row>
    <row r="109" spans="1:35">
      <c r="A109" s="1">
        <f>HYPERLINK("https://lsnyc.legalserver.org/matter/dynamic-profile/view/0799992","16-0799992")</f>
        <v>0</v>
      </c>
      <c r="B109" t="s">
        <v>37</v>
      </c>
      <c r="C109" t="s">
        <v>58</v>
      </c>
      <c r="D109" t="s">
        <v>168</v>
      </c>
      <c r="E109" t="s">
        <v>557</v>
      </c>
      <c r="F109">
        <v>2091</v>
      </c>
      <c r="G109" t="s">
        <v>1067</v>
      </c>
      <c r="H109" t="s">
        <v>1316</v>
      </c>
      <c r="K109" t="s">
        <v>1436</v>
      </c>
      <c r="L109">
        <v>2</v>
      </c>
      <c r="M109">
        <v>0</v>
      </c>
      <c r="N109">
        <v>0</v>
      </c>
      <c r="P109">
        <v>21588</v>
      </c>
      <c r="Q109">
        <v>11208</v>
      </c>
      <c r="R109" t="s">
        <v>1447</v>
      </c>
      <c r="S109" t="s">
        <v>1462</v>
      </c>
      <c r="U109" t="s">
        <v>1478</v>
      </c>
      <c r="V109" t="s">
        <v>1470</v>
      </c>
      <c r="Y109" t="s">
        <v>1512</v>
      </c>
      <c r="AA109" t="s">
        <v>1501</v>
      </c>
      <c r="AC109">
        <v>0</v>
      </c>
      <c r="AD109">
        <v>0</v>
      </c>
      <c r="AF109">
        <v>0</v>
      </c>
      <c r="AG109">
        <v>0</v>
      </c>
      <c r="AH109">
        <v>0</v>
      </c>
      <c r="AI109">
        <v>0</v>
      </c>
    </row>
    <row r="110" spans="1:35">
      <c r="A110" s="1">
        <f>HYPERLINK("https://lsnyc.legalserver.org/matter/dynamic-profile/view/0807834","16-0807834")</f>
        <v>0</v>
      </c>
      <c r="B110" t="s">
        <v>37</v>
      </c>
      <c r="C110" t="s">
        <v>50</v>
      </c>
      <c r="D110" t="s">
        <v>169</v>
      </c>
      <c r="E110" t="s">
        <v>353</v>
      </c>
      <c r="F110">
        <v>2091</v>
      </c>
      <c r="G110" t="s">
        <v>1068</v>
      </c>
      <c r="H110" t="s">
        <v>1317</v>
      </c>
      <c r="I110" t="s">
        <v>1381</v>
      </c>
      <c r="K110" t="s">
        <v>1436</v>
      </c>
      <c r="L110">
        <v>4</v>
      </c>
      <c r="M110">
        <v>0</v>
      </c>
      <c r="N110">
        <v>2</v>
      </c>
      <c r="O110" t="s">
        <v>1441</v>
      </c>
      <c r="P110">
        <v>71280</v>
      </c>
      <c r="Q110">
        <v>11207</v>
      </c>
      <c r="R110" t="s">
        <v>1447</v>
      </c>
      <c r="S110" t="s">
        <v>1459</v>
      </c>
      <c r="T110" t="s">
        <v>1453</v>
      </c>
      <c r="U110" t="s">
        <v>1478</v>
      </c>
      <c r="V110" t="s">
        <v>1475</v>
      </c>
      <c r="Y110" t="s">
        <v>1502</v>
      </c>
      <c r="AA110" t="s">
        <v>1501</v>
      </c>
      <c r="AC110">
        <v>0</v>
      </c>
      <c r="AD110">
        <v>0</v>
      </c>
      <c r="AF110">
        <v>0</v>
      </c>
      <c r="AG110">
        <v>0</v>
      </c>
      <c r="AH110">
        <v>0</v>
      </c>
      <c r="AI110">
        <v>0</v>
      </c>
    </row>
    <row r="111" spans="1:35">
      <c r="A111" s="1">
        <f>HYPERLINK("https://lsnyc.legalserver.org/matter/dynamic-profile/view/0802370","16-0802370")</f>
        <v>0</v>
      </c>
      <c r="B111" t="s">
        <v>37</v>
      </c>
      <c r="C111" t="s">
        <v>50</v>
      </c>
      <c r="D111" t="s">
        <v>170</v>
      </c>
      <c r="E111" t="s">
        <v>604</v>
      </c>
      <c r="F111">
        <v>2091</v>
      </c>
      <c r="G111" t="s">
        <v>1069</v>
      </c>
      <c r="H111" t="s">
        <v>1318</v>
      </c>
      <c r="I111" t="s">
        <v>1345</v>
      </c>
      <c r="K111" t="s">
        <v>1436</v>
      </c>
      <c r="L111">
        <v>3</v>
      </c>
      <c r="M111">
        <v>0</v>
      </c>
      <c r="N111">
        <v>1</v>
      </c>
      <c r="O111" t="s">
        <v>1441</v>
      </c>
      <c r="P111">
        <v>74796</v>
      </c>
      <c r="Q111">
        <v>11208</v>
      </c>
      <c r="R111" t="s">
        <v>1447</v>
      </c>
      <c r="S111" t="s">
        <v>1459</v>
      </c>
      <c r="U111" t="s">
        <v>1478</v>
      </c>
      <c r="V111" t="s">
        <v>1470</v>
      </c>
      <c r="W111" t="s">
        <v>1493</v>
      </c>
      <c r="Y111" t="s">
        <v>1501</v>
      </c>
      <c r="AA111" t="s">
        <v>1498</v>
      </c>
      <c r="AC111">
        <v>0</v>
      </c>
      <c r="AD111">
        <v>0</v>
      </c>
      <c r="AF111">
        <v>0</v>
      </c>
      <c r="AG111">
        <v>0</v>
      </c>
      <c r="AH111">
        <v>0</v>
      </c>
      <c r="AI111">
        <v>0</v>
      </c>
    </row>
    <row r="112" spans="1:35">
      <c r="A112" s="1">
        <f>HYPERLINK("https://lsnyc.legalserver.org/matter/dynamic-profile/view/0803329","16-0803329")</f>
        <v>0</v>
      </c>
      <c r="B112" t="s">
        <v>36</v>
      </c>
      <c r="C112" t="s">
        <v>56</v>
      </c>
      <c r="D112" t="s">
        <v>171</v>
      </c>
      <c r="E112" t="s">
        <v>605</v>
      </c>
      <c r="F112">
        <v>2093</v>
      </c>
      <c r="G112" t="s">
        <v>1070</v>
      </c>
      <c r="H112" t="s">
        <v>1320</v>
      </c>
      <c r="I112" t="s">
        <v>1382</v>
      </c>
      <c r="K112" t="s">
        <v>1436</v>
      </c>
      <c r="L112">
        <v>1</v>
      </c>
      <c r="M112">
        <v>0</v>
      </c>
      <c r="N112">
        <v>0</v>
      </c>
      <c r="O112" t="s">
        <v>1440</v>
      </c>
      <c r="P112">
        <v>10000</v>
      </c>
      <c r="Q112">
        <v>11434</v>
      </c>
      <c r="R112" t="s">
        <v>1446</v>
      </c>
      <c r="S112" t="s">
        <v>1454</v>
      </c>
      <c r="T112" t="s">
        <v>1458</v>
      </c>
      <c r="U112" t="s">
        <v>1478</v>
      </c>
      <c r="AC112">
        <v>0</v>
      </c>
      <c r="AD112">
        <v>0</v>
      </c>
      <c r="AF112">
        <v>0</v>
      </c>
      <c r="AG112">
        <v>0</v>
      </c>
      <c r="AH112">
        <v>0</v>
      </c>
      <c r="AI112">
        <v>0</v>
      </c>
    </row>
    <row r="113" spans="1:35">
      <c r="A113" s="1">
        <f>HYPERLINK("https://lsnyc.legalserver.org/matter/dynamic-profile/view/0807950","16-0807950")</f>
        <v>0</v>
      </c>
      <c r="B113" t="s">
        <v>36</v>
      </c>
      <c r="C113" t="s">
        <v>56</v>
      </c>
      <c r="D113" t="s">
        <v>128</v>
      </c>
      <c r="E113" t="s">
        <v>606</v>
      </c>
      <c r="F113">
        <v>2093</v>
      </c>
      <c r="G113" t="s">
        <v>1071</v>
      </c>
      <c r="H113" t="s">
        <v>994</v>
      </c>
      <c r="I113" t="s">
        <v>1362</v>
      </c>
      <c r="K113" t="s">
        <v>1436</v>
      </c>
      <c r="L113">
        <v>2</v>
      </c>
      <c r="M113">
        <v>0</v>
      </c>
      <c r="N113">
        <v>1</v>
      </c>
      <c r="O113" t="s">
        <v>1441</v>
      </c>
      <c r="P113">
        <v>31800</v>
      </c>
      <c r="Q113">
        <v>11422</v>
      </c>
      <c r="R113" t="s">
        <v>1446</v>
      </c>
      <c r="S113" t="s">
        <v>1454</v>
      </c>
      <c r="U113" t="s">
        <v>1478</v>
      </c>
      <c r="W113" t="s">
        <v>1492</v>
      </c>
      <c r="AC113">
        <v>0</v>
      </c>
      <c r="AD113">
        <v>0</v>
      </c>
      <c r="AF113">
        <v>0</v>
      </c>
      <c r="AG113">
        <v>0</v>
      </c>
      <c r="AH113">
        <v>0</v>
      </c>
      <c r="AI113">
        <v>0</v>
      </c>
    </row>
    <row r="114" spans="1:35">
      <c r="A114" s="1">
        <f>HYPERLINK("https://lsnyc.legalserver.org/matter/dynamic-profile/view/0808173","16-0808173")</f>
        <v>0</v>
      </c>
      <c r="B114" t="s">
        <v>37</v>
      </c>
      <c r="C114" t="s">
        <v>50</v>
      </c>
      <c r="D114" t="s">
        <v>67</v>
      </c>
      <c r="E114" t="s">
        <v>607</v>
      </c>
      <c r="F114">
        <v>2091</v>
      </c>
      <c r="G114" t="s">
        <v>1072</v>
      </c>
      <c r="H114" t="s">
        <v>1316</v>
      </c>
      <c r="I114" t="s">
        <v>1345</v>
      </c>
      <c r="K114" t="s">
        <v>1436</v>
      </c>
      <c r="L114">
        <v>3</v>
      </c>
      <c r="M114">
        <v>0</v>
      </c>
      <c r="N114">
        <v>3</v>
      </c>
      <c r="P114">
        <v>136760</v>
      </c>
      <c r="Q114">
        <v>11236</v>
      </c>
      <c r="R114" t="s">
        <v>1447</v>
      </c>
      <c r="S114" t="s">
        <v>1454</v>
      </c>
      <c r="T114" t="s">
        <v>1463</v>
      </c>
      <c r="U114" t="s">
        <v>1478</v>
      </c>
      <c r="V114" t="s">
        <v>1472</v>
      </c>
      <c r="W114" t="s">
        <v>1493</v>
      </c>
      <c r="Y114" t="s">
        <v>1502</v>
      </c>
      <c r="AA114" t="s">
        <v>1498</v>
      </c>
      <c r="AC114">
        <v>0</v>
      </c>
      <c r="AD114">
        <v>0</v>
      </c>
      <c r="AF114">
        <v>0</v>
      </c>
      <c r="AG114">
        <v>0</v>
      </c>
      <c r="AH114">
        <v>0</v>
      </c>
      <c r="AI114">
        <v>0</v>
      </c>
    </row>
    <row r="115" spans="1:35">
      <c r="A115" s="1">
        <f>HYPERLINK("https://lsnyc.legalserver.org/matter/dynamic-profile/view/0809434","16-0809434")</f>
        <v>0</v>
      </c>
      <c r="B115" t="s">
        <v>37</v>
      </c>
      <c r="C115" t="s">
        <v>50</v>
      </c>
      <c r="D115" t="s">
        <v>172</v>
      </c>
      <c r="E115" t="s">
        <v>608</v>
      </c>
      <c r="F115">
        <v>2091</v>
      </c>
      <c r="G115" t="s">
        <v>1073</v>
      </c>
      <c r="H115" t="s">
        <v>1317</v>
      </c>
      <c r="I115" t="s">
        <v>1363</v>
      </c>
      <c r="K115" t="s">
        <v>1436</v>
      </c>
      <c r="L115">
        <v>4</v>
      </c>
      <c r="M115">
        <v>1</v>
      </c>
      <c r="N115">
        <v>0</v>
      </c>
      <c r="O115" t="s">
        <v>1442</v>
      </c>
      <c r="P115">
        <v>48000</v>
      </c>
      <c r="Q115">
        <v>11213</v>
      </c>
      <c r="R115" t="s">
        <v>1447</v>
      </c>
      <c r="S115" t="s">
        <v>1454</v>
      </c>
      <c r="T115" t="s">
        <v>1452</v>
      </c>
      <c r="U115" t="s">
        <v>1478</v>
      </c>
      <c r="V115" t="s">
        <v>1473</v>
      </c>
      <c r="W115" t="s">
        <v>1492</v>
      </c>
      <c r="Y115" t="s">
        <v>1502</v>
      </c>
      <c r="AA115" t="s">
        <v>1501</v>
      </c>
      <c r="AC115">
        <v>0</v>
      </c>
      <c r="AD115">
        <v>0</v>
      </c>
      <c r="AF115">
        <v>0</v>
      </c>
      <c r="AG115">
        <v>0</v>
      </c>
      <c r="AH115">
        <v>0</v>
      </c>
      <c r="AI115">
        <v>0</v>
      </c>
    </row>
    <row r="116" spans="1:35">
      <c r="A116" s="1">
        <f>HYPERLINK("https://lsnyc.legalserver.org/matter/dynamic-profile/view/0810758","16-0810758")</f>
        <v>0</v>
      </c>
      <c r="B116" t="s">
        <v>37</v>
      </c>
      <c r="C116" t="s">
        <v>42</v>
      </c>
      <c r="D116" t="s">
        <v>173</v>
      </c>
      <c r="E116" t="s">
        <v>609</v>
      </c>
      <c r="F116">
        <v>2091</v>
      </c>
      <c r="G116" t="s">
        <v>1074</v>
      </c>
      <c r="H116" t="s">
        <v>1167</v>
      </c>
      <c r="I116" t="s">
        <v>1361</v>
      </c>
      <c r="K116" t="s">
        <v>1436</v>
      </c>
      <c r="L116">
        <v>1</v>
      </c>
      <c r="M116">
        <v>0</v>
      </c>
      <c r="N116">
        <v>0</v>
      </c>
      <c r="O116" t="s">
        <v>1441</v>
      </c>
      <c r="P116">
        <v>53940</v>
      </c>
      <c r="Q116">
        <v>11208</v>
      </c>
      <c r="R116" t="s">
        <v>1447</v>
      </c>
      <c r="S116" t="s">
        <v>1463</v>
      </c>
      <c r="T116" t="s">
        <v>1454</v>
      </c>
      <c r="U116" t="s">
        <v>1473</v>
      </c>
      <c r="V116" t="s">
        <v>1471</v>
      </c>
      <c r="W116" t="s">
        <v>1494</v>
      </c>
      <c r="Y116" t="s">
        <v>1502</v>
      </c>
      <c r="AA116" t="s">
        <v>1498</v>
      </c>
      <c r="AC116">
        <v>0</v>
      </c>
      <c r="AD116">
        <v>0</v>
      </c>
      <c r="AF116">
        <v>0</v>
      </c>
      <c r="AG116">
        <v>0</v>
      </c>
      <c r="AH116">
        <v>0</v>
      </c>
      <c r="AI116">
        <v>0</v>
      </c>
    </row>
    <row r="117" spans="1:35">
      <c r="A117" s="1">
        <f>HYPERLINK("https://lsnyc.legalserver.org/matter/dynamic-profile/view/0813001","16-0813001")</f>
        <v>0</v>
      </c>
      <c r="B117" t="s">
        <v>37</v>
      </c>
      <c r="C117" t="s">
        <v>58</v>
      </c>
      <c r="D117" t="s">
        <v>168</v>
      </c>
      <c r="E117" t="s">
        <v>528</v>
      </c>
      <c r="F117">
        <v>2091</v>
      </c>
      <c r="G117" t="s">
        <v>1075</v>
      </c>
      <c r="H117" t="s">
        <v>1259</v>
      </c>
      <c r="K117" t="s">
        <v>1436</v>
      </c>
      <c r="L117">
        <v>2</v>
      </c>
      <c r="M117">
        <v>0</v>
      </c>
      <c r="N117">
        <v>2</v>
      </c>
      <c r="O117" t="s">
        <v>1440</v>
      </c>
      <c r="P117">
        <v>43084</v>
      </c>
      <c r="Q117">
        <v>11207</v>
      </c>
      <c r="R117" t="s">
        <v>1447</v>
      </c>
      <c r="S117" t="s">
        <v>1466</v>
      </c>
      <c r="U117" t="s">
        <v>1478</v>
      </c>
      <c r="AC117">
        <v>0</v>
      </c>
      <c r="AD117">
        <v>0</v>
      </c>
      <c r="AF117">
        <v>0</v>
      </c>
      <c r="AG117">
        <v>0</v>
      </c>
      <c r="AH117">
        <v>0</v>
      </c>
      <c r="AI117">
        <v>0</v>
      </c>
    </row>
    <row r="118" spans="1:35">
      <c r="A118" s="1">
        <f>HYPERLINK("https://lsnyc.legalserver.org/matter/dynamic-profile/view/0815200","16-0815200")</f>
        <v>0</v>
      </c>
      <c r="B118" t="s">
        <v>37</v>
      </c>
      <c r="C118" t="s">
        <v>50</v>
      </c>
      <c r="D118" t="s">
        <v>174</v>
      </c>
      <c r="E118" t="s">
        <v>197</v>
      </c>
      <c r="F118">
        <v>2091</v>
      </c>
      <c r="G118" t="s">
        <v>1021</v>
      </c>
      <c r="H118" t="s">
        <v>1181</v>
      </c>
      <c r="I118" t="s">
        <v>1363</v>
      </c>
      <c r="K118" t="s">
        <v>1436</v>
      </c>
      <c r="L118">
        <v>5</v>
      </c>
      <c r="M118">
        <v>7</v>
      </c>
      <c r="N118">
        <v>0</v>
      </c>
      <c r="O118" t="s">
        <v>1442</v>
      </c>
      <c r="P118">
        <v>97640</v>
      </c>
      <c r="Q118">
        <v>11203</v>
      </c>
      <c r="R118" t="s">
        <v>1447</v>
      </c>
      <c r="S118" t="s">
        <v>1453</v>
      </c>
      <c r="T118" t="s">
        <v>1459</v>
      </c>
      <c r="U118" t="s">
        <v>1474</v>
      </c>
      <c r="V118" t="s">
        <v>1476</v>
      </c>
      <c r="Y118" t="s">
        <v>1507</v>
      </c>
      <c r="AA118" t="s">
        <v>1498</v>
      </c>
      <c r="AC118">
        <v>0</v>
      </c>
      <c r="AD118">
        <v>0</v>
      </c>
      <c r="AF118">
        <v>0</v>
      </c>
      <c r="AG118">
        <v>0</v>
      </c>
      <c r="AH118">
        <v>0</v>
      </c>
      <c r="AI118">
        <v>0</v>
      </c>
    </row>
    <row r="119" spans="1:35">
      <c r="A119" s="1">
        <f>HYPERLINK("https://lsnyc.legalserver.org/matter/dynamic-profile/view/0816336","16-0816336")</f>
        <v>0</v>
      </c>
      <c r="B119" t="s">
        <v>35</v>
      </c>
      <c r="C119" t="s">
        <v>39</v>
      </c>
      <c r="D119" t="s">
        <v>175</v>
      </c>
      <c r="E119" t="s">
        <v>610</v>
      </c>
      <c r="F119">
        <v>2094</v>
      </c>
      <c r="G119" t="s">
        <v>1076</v>
      </c>
      <c r="H119" t="s">
        <v>1003</v>
      </c>
      <c r="I119" t="s">
        <v>1330</v>
      </c>
      <c r="K119" t="s">
        <v>1436</v>
      </c>
      <c r="L119">
        <v>1</v>
      </c>
      <c r="M119">
        <v>0</v>
      </c>
      <c r="N119">
        <v>1</v>
      </c>
      <c r="O119" t="s">
        <v>1441</v>
      </c>
      <c r="P119">
        <v>46584</v>
      </c>
      <c r="Q119">
        <v>10455</v>
      </c>
      <c r="R119" t="s">
        <v>1445</v>
      </c>
      <c r="S119" t="s">
        <v>1460</v>
      </c>
      <c r="U119" t="s">
        <v>1472</v>
      </c>
      <c r="V119" t="s">
        <v>1478</v>
      </c>
      <c r="W119" t="s">
        <v>1490</v>
      </c>
      <c r="Y119" t="s">
        <v>1499</v>
      </c>
      <c r="AA119" t="s">
        <v>1502</v>
      </c>
      <c r="AC119">
        <v>1426.79</v>
      </c>
      <c r="AD119">
        <v>0</v>
      </c>
      <c r="AF119">
        <v>63355.09</v>
      </c>
      <c r="AG119">
        <v>0</v>
      </c>
      <c r="AH119">
        <v>0</v>
      </c>
      <c r="AI119">
        <v>0</v>
      </c>
    </row>
    <row r="120" spans="1:35">
      <c r="A120" s="1">
        <f>HYPERLINK("https://lsnyc.legalserver.org/matter/dynamic-profile/view/0830812","17-0830812")</f>
        <v>0</v>
      </c>
      <c r="B120" t="s">
        <v>36</v>
      </c>
      <c r="C120" t="s">
        <v>60</v>
      </c>
      <c r="D120" t="s">
        <v>176</v>
      </c>
      <c r="E120" t="s">
        <v>611</v>
      </c>
      <c r="F120">
        <v>2093</v>
      </c>
      <c r="G120" t="s">
        <v>1077</v>
      </c>
      <c r="H120" t="s">
        <v>1318</v>
      </c>
      <c r="I120" t="s">
        <v>1366</v>
      </c>
      <c r="K120" t="s">
        <v>1436</v>
      </c>
      <c r="L120">
        <v>2</v>
      </c>
      <c r="M120">
        <v>0</v>
      </c>
      <c r="N120">
        <v>0</v>
      </c>
      <c r="O120" t="s">
        <v>1442</v>
      </c>
      <c r="P120">
        <v>26400</v>
      </c>
      <c r="Q120">
        <v>11413</v>
      </c>
      <c r="R120" t="s">
        <v>1446</v>
      </c>
      <c r="S120" t="s">
        <v>1464</v>
      </c>
      <c r="U120" t="s">
        <v>1478</v>
      </c>
      <c r="V120" t="s">
        <v>1472</v>
      </c>
      <c r="AC120">
        <v>0</v>
      </c>
      <c r="AD120">
        <v>0</v>
      </c>
      <c r="AF120">
        <v>0</v>
      </c>
      <c r="AG120">
        <v>0</v>
      </c>
      <c r="AH120">
        <v>0</v>
      </c>
      <c r="AI120">
        <v>0</v>
      </c>
    </row>
    <row r="121" spans="1:35">
      <c r="A121" s="1">
        <f>HYPERLINK("https://lsnyc.legalserver.org/matter/dynamic-profile/view/0831014","17-0831014")</f>
        <v>0</v>
      </c>
      <c r="B121" t="s">
        <v>36</v>
      </c>
      <c r="C121" t="s">
        <v>51</v>
      </c>
      <c r="D121" t="s">
        <v>177</v>
      </c>
      <c r="E121" t="s">
        <v>612</v>
      </c>
      <c r="F121">
        <v>2093</v>
      </c>
      <c r="G121" t="s">
        <v>1078</v>
      </c>
      <c r="H121" t="s">
        <v>1322</v>
      </c>
      <c r="I121" t="s">
        <v>1383</v>
      </c>
      <c r="K121" t="s">
        <v>1436</v>
      </c>
      <c r="L121">
        <v>2</v>
      </c>
      <c r="M121">
        <v>1</v>
      </c>
      <c r="N121">
        <v>1</v>
      </c>
      <c r="O121" t="s">
        <v>1440</v>
      </c>
      <c r="P121">
        <v>37200</v>
      </c>
      <c r="Q121">
        <v>11433</v>
      </c>
      <c r="R121" t="s">
        <v>1446</v>
      </c>
      <c r="S121" t="s">
        <v>1464</v>
      </c>
      <c r="U121" t="s">
        <v>1478</v>
      </c>
      <c r="AC121">
        <v>0</v>
      </c>
      <c r="AD121">
        <v>0</v>
      </c>
      <c r="AF121">
        <v>0</v>
      </c>
      <c r="AG121">
        <v>0</v>
      </c>
      <c r="AH121">
        <v>0</v>
      </c>
      <c r="AI121">
        <v>0</v>
      </c>
    </row>
    <row r="122" spans="1:35">
      <c r="A122" s="1">
        <f>HYPERLINK("https://lsnyc.legalserver.org/matter/dynamic-profile/view/0831688","17-0831688")</f>
        <v>0</v>
      </c>
      <c r="B122" t="s">
        <v>37</v>
      </c>
      <c r="C122" t="s">
        <v>54</v>
      </c>
      <c r="D122" t="s">
        <v>178</v>
      </c>
      <c r="E122" t="s">
        <v>613</v>
      </c>
      <c r="F122">
        <v>2091</v>
      </c>
      <c r="G122" t="s">
        <v>1079</v>
      </c>
      <c r="H122" t="s">
        <v>1259</v>
      </c>
      <c r="I122" t="s">
        <v>1384</v>
      </c>
      <c r="K122" t="s">
        <v>1436</v>
      </c>
      <c r="L122">
        <v>4</v>
      </c>
      <c r="M122">
        <v>3</v>
      </c>
      <c r="N122">
        <v>0</v>
      </c>
      <c r="P122">
        <v>71916</v>
      </c>
      <c r="Q122">
        <v>11230</v>
      </c>
      <c r="R122" t="s">
        <v>1447</v>
      </c>
      <c r="S122" t="s">
        <v>1452</v>
      </c>
      <c r="U122" t="s">
        <v>1473</v>
      </c>
      <c r="V122" t="s">
        <v>1471</v>
      </c>
      <c r="W122" t="s">
        <v>1495</v>
      </c>
      <c r="AC122">
        <v>0</v>
      </c>
      <c r="AD122">
        <v>0</v>
      </c>
      <c r="AF122">
        <v>0</v>
      </c>
      <c r="AG122">
        <v>0</v>
      </c>
      <c r="AH122">
        <v>0</v>
      </c>
      <c r="AI122">
        <v>0</v>
      </c>
    </row>
    <row r="123" spans="1:35">
      <c r="A123" s="1">
        <f>HYPERLINK("https://lsnyc.legalserver.org/matter/dynamic-profile/view/1837777","17-1837777")</f>
        <v>0</v>
      </c>
      <c r="B123" t="s">
        <v>36</v>
      </c>
      <c r="C123" t="s">
        <v>59</v>
      </c>
      <c r="D123" t="s">
        <v>179</v>
      </c>
      <c r="E123" t="s">
        <v>526</v>
      </c>
      <c r="F123">
        <v>2093</v>
      </c>
      <c r="G123" t="s">
        <v>1080</v>
      </c>
      <c r="H123" t="s">
        <v>1315</v>
      </c>
      <c r="I123" t="s">
        <v>1371</v>
      </c>
      <c r="K123" t="s">
        <v>1436</v>
      </c>
      <c r="L123">
        <v>3</v>
      </c>
      <c r="M123">
        <v>0</v>
      </c>
      <c r="N123">
        <v>0</v>
      </c>
      <c r="O123" t="s">
        <v>1440</v>
      </c>
      <c r="P123">
        <v>24000</v>
      </c>
      <c r="Q123">
        <v>11436</v>
      </c>
      <c r="R123" t="s">
        <v>1446</v>
      </c>
      <c r="S123" t="s">
        <v>1454</v>
      </c>
      <c r="U123" t="s">
        <v>1473</v>
      </c>
      <c r="V123" t="s">
        <v>1472</v>
      </c>
      <c r="W123" t="s">
        <v>1492</v>
      </c>
      <c r="AA123" t="s">
        <v>1502</v>
      </c>
      <c r="AC123">
        <v>0</v>
      </c>
      <c r="AD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A124" s="1">
        <f>HYPERLINK("https://lsnyc.legalserver.org/matter/dynamic-profile/view/1842869","17-1842869")</f>
        <v>0</v>
      </c>
      <c r="B124" t="s">
        <v>38</v>
      </c>
      <c r="C124" t="s">
        <v>45</v>
      </c>
      <c r="D124" t="s">
        <v>160</v>
      </c>
      <c r="E124" t="s">
        <v>614</v>
      </c>
      <c r="F124">
        <v>2090</v>
      </c>
      <c r="G124" t="s">
        <v>1081</v>
      </c>
      <c r="H124" t="s">
        <v>1186</v>
      </c>
      <c r="I124" t="s">
        <v>1371</v>
      </c>
      <c r="K124" t="s">
        <v>1436</v>
      </c>
      <c r="L124">
        <v>3</v>
      </c>
      <c r="M124">
        <v>2</v>
      </c>
      <c r="N124">
        <v>1</v>
      </c>
      <c r="O124" t="s">
        <v>1440</v>
      </c>
      <c r="P124">
        <v>34284</v>
      </c>
      <c r="Q124">
        <v>10303</v>
      </c>
      <c r="R124" t="s">
        <v>1448</v>
      </c>
      <c r="S124" t="s">
        <v>1452</v>
      </c>
      <c r="T124" t="s">
        <v>1454</v>
      </c>
      <c r="U124" t="s">
        <v>1471</v>
      </c>
      <c r="V124" t="s">
        <v>1474</v>
      </c>
      <c r="W124" t="s">
        <v>1492</v>
      </c>
      <c r="Y124" t="s">
        <v>1498</v>
      </c>
      <c r="AC124">
        <v>0</v>
      </c>
      <c r="AD124">
        <v>0</v>
      </c>
      <c r="AF124">
        <v>0</v>
      </c>
      <c r="AG124">
        <v>0</v>
      </c>
      <c r="AH124">
        <v>0</v>
      </c>
      <c r="AI124">
        <v>0</v>
      </c>
    </row>
    <row r="125" spans="1:35">
      <c r="A125" s="1">
        <f>HYPERLINK("https://lsnyc.legalserver.org/matter/dynamic-profile/view/1844400","17-1844400")</f>
        <v>0</v>
      </c>
      <c r="B125" t="s">
        <v>37</v>
      </c>
      <c r="C125" t="s">
        <v>58</v>
      </c>
      <c r="D125" t="s">
        <v>180</v>
      </c>
      <c r="E125" t="s">
        <v>615</v>
      </c>
      <c r="F125">
        <v>2091</v>
      </c>
      <c r="G125" t="s">
        <v>1082</v>
      </c>
      <c r="H125" t="s">
        <v>1313</v>
      </c>
      <c r="I125" t="s">
        <v>1373</v>
      </c>
      <c r="K125" t="s">
        <v>1436</v>
      </c>
      <c r="L125">
        <v>3</v>
      </c>
      <c r="M125">
        <v>1</v>
      </c>
      <c r="N125">
        <v>0</v>
      </c>
      <c r="O125" t="s">
        <v>1441</v>
      </c>
      <c r="P125">
        <v>30000</v>
      </c>
      <c r="Q125">
        <v>11236</v>
      </c>
      <c r="R125" t="s">
        <v>1447</v>
      </c>
      <c r="S125" t="s">
        <v>1459</v>
      </c>
      <c r="U125" t="s">
        <v>1478</v>
      </c>
      <c r="AC125">
        <v>0</v>
      </c>
      <c r="AD125">
        <v>0</v>
      </c>
      <c r="AF125">
        <v>0</v>
      </c>
      <c r="AG125">
        <v>0</v>
      </c>
      <c r="AH125">
        <v>0</v>
      </c>
      <c r="AI125">
        <v>0</v>
      </c>
    </row>
    <row r="126" spans="1:35">
      <c r="A126" s="1">
        <f>HYPERLINK("https://lsnyc.legalserver.org/matter/dynamic-profile/view/1849288","17-1849288")</f>
        <v>0</v>
      </c>
      <c r="B126" t="s">
        <v>37</v>
      </c>
      <c r="C126" t="s">
        <v>54</v>
      </c>
      <c r="D126" t="s">
        <v>181</v>
      </c>
      <c r="E126" t="s">
        <v>616</v>
      </c>
      <c r="F126">
        <v>2091</v>
      </c>
      <c r="G126" t="s">
        <v>1083</v>
      </c>
      <c r="H126" t="s">
        <v>1184</v>
      </c>
      <c r="I126" t="s">
        <v>1362</v>
      </c>
      <c r="K126" t="s">
        <v>1436</v>
      </c>
      <c r="L126">
        <v>3</v>
      </c>
      <c r="M126">
        <v>0</v>
      </c>
      <c r="N126">
        <v>0</v>
      </c>
      <c r="O126" t="s">
        <v>1440</v>
      </c>
      <c r="P126">
        <v>62400</v>
      </c>
      <c r="Q126">
        <v>11236</v>
      </c>
      <c r="R126" t="s">
        <v>1447</v>
      </c>
      <c r="S126" t="s">
        <v>1454</v>
      </c>
      <c r="U126" t="s">
        <v>1473</v>
      </c>
      <c r="V126" t="s">
        <v>1471</v>
      </c>
      <c r="W126" t="s">
        <v>1491</v>
      </c>
      <c r="Y126" t="s">
        <v>1502</v>
      </c>
      <c r="AA126" t="s">
        <v>1498</v>
      </c>
      <c r="AC126">
        <v>0</v>
      </c>
      <c r="AD126">
        <v>0</v>
      </c>
      <c r="AF126">
        <v>0</v>
      </c>
      <c r="AG126">
        <v>0</v>
      </c>
      <c r="AH126">
        <v>0</v>
      </c>
      <c r="AI126">
        <v>0</v>
      </c>
    </row>
    <row r="127" spans="1:35">
      <c r="A127" s="1">
        <f>HYPERLINK("https://lsnyc.legalserver.org/matter/dynamic-profile/view/1849793","17-1849793")</f>
        <v>0</v>
      </c>
      <c r="B127" t="s">
        <v>36</v>
      </c>
      <c r="C127" t="s">
        <v>59</v>
      </c>
      <c r="D127" t="s">
        <v>182</v>
      </c>
      <c r="E127" t="s">
        <v>617</v>
      </c>
      <c r="F127">
        <v>2093</v>
      </c>
      <c r="G127" t="s">
        <v>1084</v>
      </c>
      <c r="H127" t="s">
        <v>1325</v>
      </c>
      <c r="I127" t="s">
        <v>1385</v>
      </c>
      <c r="K127" t="s">
        <v>1436</v>
      </c>
      <c r="L127">
        <v>1</v>
      </c>
      <c r="M127">
        <v>0</v>
      </c>
      <c r="N127">
        <v>0</v>
      </c>
      <c r="O127" t="s">
        <v>1440</v>
      </c>
      <c r="P127">
        <v>24000</v>
      </c>
      <c r="Q127">
        <v>11413</v>
      </c>
      <c r="R127" t="s">
        <v>1446</v>
      </c>
      <c r="S127" t="s">
        <v>1453</v>
      </c>
      <c r="U127" t="s">
        <v>1470</v>
      </c>
      <c r="Y127" t="s">
        <v>1502</v>
      </c>
      <c r="AC127">
        <v>0</v>
      </c>
      <c r="AD127">
        <v>0</v>
      </c>
      <c r="AF127">
        <v>0</v>
      </c>
      <c r="AG127">
        <v>0</v>
      </c>
      <c r="AH127">
        <v>0</v>
      </c>
      <c r="AI127">
        <v>0</v>
      </c>
    </row>
    <row r="128" spans="1:35">
      <c r="A128" s="1">
        <f>HYPERLINK("https://lsnyc.legalserver.org/matter/dynamic-profile/view/1850018","17-1850018")</f>
        <v>0</v>
      </c>
      <c r="B128" t="s">
        <v>38</v>
      </c>
      <c r="C128" t="s">
        <v>53</v>
      </c>
      <c r="D128" t="s">
        <v>183</v>
      </c>
      <c r="E128" t="s">
        <v>618</v>
      </c>
      <c r="F128">
        <v>2090</v>
      </c>
      <c r="G128" t="s">
        <v>1085</v>
      </c>
      <c r="H128" t="s">
        <v>1316</v>
      </c>
      <c r="I128" t="s">
        <v>1358</v>
      </c>
      <c r="K128" t="s">
        <v>1436</v>
      </c>
      <c r="L128">
        <v>2</v>
      </c>
      <c r="M128">
        <v>0</v>
      </c>
      <c r="N128">
        <v>0</v>
      </c>
      <c r="O128" t="s">
        <v>1440</v>
      </c>
      <c r="P128">
        <v>48984</v>
      </c>
      <c r="Q128">
        <v>10303</v>
      </c>
      <c r="R128" t="s">
        <v>1448</v>
      </c>
      <c r="S128" t="s">
        <v>1456</v>
      </c>
      <c r="U128" t="s">
        <v>1474</v>
      </c>
      <c r="V128" t="s">
        <v>1470</v>
      </c>
      <c r="Y128" t="s">
        <v>1513</v>
      </c>
      <c r="AA128" t="s">
        <v>1519</v>
      </c>
      <c r="AC128">
        <v>0</v>
      </c>
      <c r="AD128">
        <v>0</v>
      </c>
      <c r="AE128" t="s">
        <v>1530</v>
      </c>
      <c r="AF128">
        <v>0</v>
      </c>
      <c r="AG128">
        <v>0</v>
      </c>
      <c r="AH128">
        <v>0</v>
      </c>
      <c r="AI128">
        <v>0</v>
      </c>
    </row>
    <row r="129" spans="1:35">
      <c r="A129" s="1">
        <f>HYPERLINK("https://lsnyc.legalserver.org/matter/dynamic-profile/view/1851709","17-1851709")</f>
        <v>0</v>
      </c>
      <c r="B129" t="s">
        <v>37</v>
      </c>
      <c r="C129" t="s">
        <v>57</v>
      </c>
      <c r="D129" t="s">
        <v>184</v>
      </c>
      <c r="E129" t="s">
        <v>619</v>
      </c>
      <c r="F129">
        <v>2091</v>
      </c>
      <c r="G129" t="s">
        <v>1086</v>
      </c>
      <c r="H129" t="s">
        <v>1310</v>
      </c>
      <c r="I129" t="s">
        <v>1363</v>
      </c>
      <c r="K129" t="s">
        <v>1436</v>
      </c>
      <c r="L129">
        <v>2</v>
      </c>
      <c r="M129">
        <v>0</v>
      </c>
      <c r="N129">
        <v>1</v>
      </c>
      <c r="O129" t="s">
        <v>1441</v>
      </c>
      <c r="P129">
        <v>100800</v>
      </c>
      <c r="Q129">
        <v>11236</v>
      </c>
      <c r="R129" t="s">
        <v>1447</v>
      </c>
      <c r="S129" t="s">
        <v>1454</v>
      </c>
      <c r="T129" t="s">
        <v>1463</v>
      </c>
      <c r="U129" t="s">
        <v>1473</v>
      </c>
      <c r="V129" t="s">
        <v>1472</v>
      </c>
      <c r="W129" t="s">
        <v>1491</v>
      </c>
      <c r="Y129" t="s">
        <v>1502</v>
      </c>
      <c r="AA129" t="s">
        <v>1501</v>
      </c>
      <c r="AC129">
        <v>0</v>
      </c>
      <c r="AD129">
        <v>0</v>
      </c>
      <c r="AF129">
        <v>0</v>
      </c>
      <c r="AG129">
        <v>0</v>
      </c>
      <c r="AH129">
        <v>0</v>
      </c>
      <c r="AI129">
        <v>0</v>
      </c>
    </row>
    <row r="130" spans="1:35">
      <c r="A130" s="1">
        <f>HYPERLINK("https://lsnyc.legalserver.org/matter/dynamic-profile/view/1854242","17-1854242")</f>
        <v>0</v>
      </c>
      <c r="B130" t="s">
        <v>36</v>
      </c>
      <c r="C130" t="s">
        <v>60</v>
      </c>
      <c r="D130" t="s">
        <v>185</v>
      </c>
      <c r="E130" t="s">
        <v>452</v>
      </c>
      <c r="F130">
        <v>2093</v>
      </c>
      <c r="G130" t="s">
        <v>1087</v>
      </c>
      <c r="H130" t="s">
        <v>1322</v>
      </c>
      <c r="I130" t="s">
        <v>1369</v>
      </c>
      <c r="K130" t="s">
        <v>1436</v>
      </c>
      <c r="L130">
        <v>1</v>
      </c>
      <c r="M130">
        <v>0</v>
      </c>
      <c r="N130">
        <v>0</v>
      </c>
      <c r="O130" t="s">
        <v>1440</v>
      </c>
      <c r="P130">
        <v>120000</v>
      </c>
      <c r="Q130">
        <v>11411</v>
      </c>
      <c r="R130" t="s">
        <v>1446</v>
      </c>
      <c r="S130" t="s">
        <v>1456</v>
      </c>
      <c r="T130" t="s">
        <v>1452</v>
      </c>
      <c r="U130" t="s">
        <v>1472</v>
      </c>
      <c r="V130" t="s">
        <v>1471</v>
      </c>
      <c r="W130" t="s">
        <v>1492</v>
      </c>
      <c r="Y130" t="s">
        <v>1502</v>
      </c>
      <c r="AA130" t="s">
        <v>1498</v>
      </c>
      <c r="AC130">
        <v>0</v>
      </c>
      <c r="AD130">
        <v>0</v>
      </c>
      <c r="AF130">
        <v>0</v>
      </c>
      <c r="AG130">
        <v>0</v>
      </c>
      <c r="AH130">
        <v>0</v>
      </c>
      <c r="AI130">
        <v>0</v>
      </c>
    </row>
    <row r="131" spans="1:35">
      <c r="A131" s="1">
        <f>HYPERLINK("https://lsnyc.legalserver.org/matter/dynamic-profile/view/1854564","17-1854564")</f>
        <v>0</v>
      </c>
      <c r="B131" t="s">
        <v>37</v>
      </c>
      <c r="C131" t="s">
        <v>54</v>
      </c>
      <c r="D131" t="s">
        <v>186</v>
      </c>
      <c r="E131" t="s">
        <v>620</v>
      </c>
      <c r="F131">
        <v>2091</v>
      </c>
      <c r="G131" t="s">
        <v>1088</v>
      </c>
      <c r="H131" t="s">
        <v>1313</v>
      </c>
      <c r="I131" t="s">
        <v>1386</v>
      </c>
      <c r="K131" t="s">
        <v>1436</v>
      </c>
      <c r="L131">
        <v>1</v>
      </c>
      <c r="M131">
        <v>2</v>
      </c>
      <c r="N131">
        <v>0</v>
      </c>
      <c r="O131" t="s">
        <v>1442</v>
      </c>
      <c r="P131">
        <v>54156</v>
      </c>
      <c r="Q131">
        <v>11233</v>
      </c>
      <c r="R131" t="s">
        <v>1447</v>
      </c>
      <c r="S131" t="s">
        <v>1458</v>
      </c>
      <c r="U131" t="s">
        <v>1472</v>
      </c>
      <c r="V131" t="s">
        <v>1473</v>
      </c>
      <c r="Y131" t="s">
        <v>1502</v>
      </c>
      <c r="AC131">
        <v>0</v>
      </c>
      <c r="AD131">
        <v>0</v>
      </c>
      <c r="AF131">
        <v>0</v>
      </c>
      <c r="AG131">
        <v>0</v>
      </c>
      <c r="AH131">
        <v>0</v>
      </c>
      <c r="AI131">
        <v>0</v>
      </c>
    </row>
    <row r="132" spans="1:35">
      <c r="A132" s="1">
        <f>HYPERLINK("https://lsnyc.legalserver.org/matter/dynamic-profile/view/1855808","18-1855808")</f>
        <v>0</v>
      </c>
      <c r="B132" t="s">
        <v>37</v>
      </c>
      <c r="C132" t="s">
        <v>58</v>
      </c>
      <c r="D132" t="s">
        <v>187</v>
      </c>
      <c r="E132" t="s">
        <v>515</v>
      </c>
      <c r="F132">
        <v>2091</v>
      </c>
      <c r="G132" t="s">
        <v>1089</v>
      </c>
      <c r="H132" t="s">
        <v>1184</v>
      </c>
      <c r="I132" t="s">
        <v>1387</v>
      </c>
      <c r="K132" t="s">
        <v>1436</v>
      </c>
      <c r="L132">
        <v>2</v>
      </c>
      <c r="M132">
        <v>2</v>
      </c>
      <c r="N132">
        <v>0</v>
      </c>
      <c r="P132">
        <v>26000</v>
      </c>
      <c r="Q132">
        <v>11236</v>
      </c>
      <c r="R132" t="s">
        <v>1447</v>
      </c>
      <c r="S132" t="s">
        <v>1464</v>
      </c>
      <c r="U132" t="s">
        <v>1480</v>
      </c>
      <c r="AC132">
        <v>0</v>
      </c>
      <c r="AD132">
        <v>0</v>
      </c>
      <c r="AF132">
        <v>0</v>
      </c>
      <c r="AG132">
        <v>0</v>
      </c>
      <c r="AH132">
        <v>0</v>
      </c>
      <c r="AI132">
        <v>0</v>
      </c>
    </row>
    <row r="133" spans="1:35">
      <c r="A133" s="1">
        <f>HYPERLINK("https://lsnyc.legalserver.org/matter/dynamic-profile/view/1857961","18-1857961")</f>
        <v>0</v>
      </c>
      <c r="B133" t="s">
        <v>36</v>
      </c>
      <c r="C133" t="s">
        <v>56</v>
      </c>
      <c r="D133" t="s">
        <v>82</v>
      </c>
      <c r="E133" t="s">
        <v>621</v>
      </c>
      <c r="F133">
        <v>2093</v>
      </c>
      <c r="G133" t="s">
        <v>1090</v>
      </c>
      <c r="H133" t="s">
        <v>1313</v>
      </c>
      <c r="I133" t="s">
        <v>1388</v>
      </c>
      <c r="K133" t="s">
        <v>1436</v>
      </c>
      <c r="L133">
        <v>3</v>
      </c>
      <c r="M133">
        <v>1</v>
      </c>
      <c r="N133">
        <v>1</v>
      </c>
      <c r="O133" t="s">
        <v>1440</v>
      </c>
      <c r="P133">
        <v>73000</v>
      </c>
      <c r="Q133">
        <v>11436</v>
      </c>
      <c r="R133" t="s">
        <v>1446</v>
      </c>
      <c r="S133" t="s">
        <v>1468</v>
      </c>
      <c r="U133" t="s">
        <v>1473</v>
      </c>
      <c r="W133" t="s">
        <v>1496</v>
      </c>
      <c r="AC133">
        <v>0</v>
      </c>
      <c r="AD133">
        <v>0</v>
      </c>
      <c r="AF133">
        <v>0</v>
      </c>
      <c r="AG133">
        <v>0</v>
      </c>
      <c r="AH133">
        <v>0</v>
      </c>
      <c r="AI133">
        <v>0</v>
      </c>
    </row>
    <row r="134" spans="1:35">
      <c r="A134" s="1">
        <f>HYPERLINK("https://lsnyc.legalserver.org/matter/dynamic-profile/view/1858862","18-1858862")</f>
        <v>0</v>
      </c>
      <c r="B134" t="s">
        <v>37</v>
      </c>
      <c r="C134" t="s">
        <v>54</v>
      </c>
      <c r="D134" t="s">
        <v>188</v>
      </c>
      <c r="E134" t="s">
        <v>622</v>
      </c>
      <c r="F134">
        <v>2091</v>
      </c>
      <c r="G134" t="s">
        <v>1091</v>
      </c>
      <c r="H134" t="s">
        <v>1316</v>
      </c>
      <c r="I134" t="s">
        <v>1340</v>
      </c>
      <c r="K134" t="s">
        <v>1436</v>
      </c>
      <c r="L134">
        <v>3</v>
      </c>
      <c r="M134">
        <v>0</v>
      </c>
      <c r="N134">
        <v>0</v>
      </c>
      <c r="O134" t="s">
        <v>1440</v>
      </c>
      <c r="P134">
        <v>54000</v>
      </c>
      <c r="Q134">
        <v>11234</v>
      </c>
      <c r="R134" t="s">
        <v>1447</v>
      </c>
      <c r="S134" t="s">
        <v>1454</v>
      </c>
      <c r="U134" t="s">
        <v>1472</v>
      </c>
      <c r="V134" t="s">
        <v>1471</v>
      </c>
      <c r="Y134" t="s">
        <v>1502</v>
      </c>
      <c r="AC134">
        <v>0</v>
      </c>
      <c r="AD134">
        <v>0</v>
      </c>
      <c r="AF134">
        <v>0</v>
      </c>
      <c r="AG134">
        <v>0</v>
      </c>
      <c r="AH134">
        <v>0</v>
      </c>
      <c r="AI134">
        <v>0</v>
      </c>
    </row>
    <row r="135" spans="1:35">
      <c r="A135" s="1">
        <f>HYPERLINK("https://lsnyc.legalserver.org/matter/dynamic-profile/view/1859377","18-1859377")</f>
        <v>0</v>
      </c>
      <c r="B135" t="s">
        <v>37</v>
      </c>
      <c r="C135" t="s">
        <v>42</v>
      </c>
      <c r="D135" t="s">
        <v>189</v>
      </c>
      <c r="E135" t="s">
        <v>623</v>
      </c>
      <c r="F135">
        <v>2091</v>
      </c>
      <c r="G135" t="s">
        <v>1092</v>
      </c>
      <c r="H135" t="s">
        <v>1175</v>
      </c>
      <c r="I135" t="s">
        <v>1389</v>
      </c>
      <c r="K135" t="s">
        <v>1436</v>
      </c>
      <c r="L135">
        <v>1</v>
      </c>
      <c r="M135">
        <v>1</v>
      </c>
      <c r="N135">
        <v>0</v>
      </c>
      <c r="O135" t="s">
        <v>1441</v>
      </c>
      <c r="P135">
        <v>77549.75999999999</v>
      </c>
      <c r="Q135">
        <v>11238</v>
      </c>
      <c r="R135" t="s">
        <v>1447</v>
      </c>
      <c r="S135" t="s">
        <v>1454</v>
      </c>
      <c r="T135" t="s">
        <v>1459</v>
      </c>
      <c r="U135" t="s">
        <v>1478</v>
      </c>
      <c r="AC135">
        <v>0</v>
      </c>
      <c r="AD135">
        <v>0</v>
      </c>
      <c r="AF135">
        <v>0</v>
      </c>
      <c r="AG135">
        <v>0</v>
      </c>
      <c r="AH135">
        <v>0</v>
      </c>
      <c r="AI135">
        <v>0</v>
      </c>
    </row>
    <row r="136" spans="1:35">
      <c r="A136" s="1">
        <f>HYPERLINK("https://lsnyc.legalserver.org/matter/dynamic-profile/view/1859725","18-1859725")</f>
        <v>0</v>
      </c>
      <c r="B136" t="s">
        <v>37</v>
      </c>
      <c r="C136" t="s">
        <v>50</v>
      </c>
      <c r="D136" t="s">
        <v>190</v>
      </c>
      <c r="E136" t="s">
        <v>624</v>
      </c>
      <c r="F136">
        <v>2091</v>
      </c>
      <c r="G136" t="s">
        <v>1093</v>
      </c>
      <c r="H136" t="s">
        <v>1316</v>
      </c>
      <c r="I136" t="s">
        <v>1390</v>
      </c>
      <c r="K136" t="s">
        <v>1436</v>
      </c>
      <c r="L136">
        <v>2</v>
      </c>
      <c r="M136">
        <v>0</v>
      </c>
      <c r="N136">
        <v>0</v>
      </c>
      <c r="O136" t="s">
        <v>1441</v>
      </c>
      <c r="P136">
        <v>139000</v>
      </c>
      <c r="Q136">
        <v>11233</v>
      </c>
      <c r="R136" t="s">
        <v>1447</v>
      </c>
      <c r="S136" t="s">
        <v>1454</v>
      </c>
      <c r="U136" t="s">
        <v>1473</v>
      </c>
      <c r="V136" t="s">
        <v>1470</v>
      </c>
      <c r="W136" t="s">
        <v>1491</v>
      </c>
      <c r="Y136" t="s">
        <v>1502</v>
      </c>
      <c r="AA136" t="s">
        <v>1501</v>
      </c>
      <c r="AC136">
        <v>0</v>
      </c>
      <c r="AD136">
        <v>0</v>
      </c>
      <c r="AF136">
        <v>0</v>
      </c>
      <c r="AG136">
        <v>0</v>
      </c>
      <c r="AH136">
        <v>0</v>
      </c>
      <c r="AI136">
        <v>0</v>
      </c>
    </row>
    <row r="137" spans="1:35">
      <c r="A137" s="1">
        <f>HYPERLINK("https://lsnyc.legalserver.org/matter/dynamic-profile/view/1859550","18-1859550")</f>
        <v>0</v>
      </c>
      <c r="B137" t="s">
        <v>38</v>
      </c>
      <c r="C137" t="s">
        <v>45</v>
      </c>
      <c r="D137" t="s">
        <v>191</v>
      </c>
      <c r="E137" t="s">
        <v>625</v>
      </c>
      <c r="F137">
        <v>2090</v>
      </c>
      <c r="G137" t="s">
        <v>1094</v>
      </c>
      <c r="H137" t="s">
        <v>1188</v>
      </c>
      <c r="I137" t="s">
        <v>1391</v>
      </c>
      <c r="K137" t="s">
        <v>1436</v>
      </c>
      <c r="L137">
        <v>3</v>
      </c>
      <c r="M137">
        <v>3</v>
      </c>
      <c r="N137">
        <v>0</v>
      </c>
      <c r="P137">
        <v>75000</v>
      </c>
      <c r="Q137">
        <v>10302</v>
      </c>
      <c r="R137" t="s">
        <v>1448</v>
      </c>
      <c r="S137" t="s">
        <v>1457</v>
      </c>
      <c r="U137" t="s">
        <v>1475</v>
      </c>
      <c r="Y137" t="s">
        <v>1498</v>
      </c>
      <c r="AC137">
        <v>0</v>
      </c>
      <c r="AD137">
        <v>0</v>
      </c>
      <c r="AF137">
        <v>0</v>
      </c>
      <c r="AG137">
        <v>0</v>
      </c>
      <c r="AH137">
        <v>0</v>
      </c>
      <c r="AI137">
        <v>0</v>
      </c>
    </row>
    <row r="138" spans="1:35">
      <c r="A138" s="1">
        <f>HYPERLINK("https://lsnyc.legalserver.org/matter/dynamic-profile/view/1862039","18-1862039")</f>
        <v>0</v>
      </c>
      <c r="B138" t="s">
        <v>36</v>
      </c>
      <c r="C138" t="s">
        <v>59</v>
      </c>
      <c r="D138" t="s">
        <v>192</v>
      </c>
      <c r="E138" t="s">
        <v>128</v>
      </c>
      <c r="F138">
        <v>2093</v>
      </c>
      <c r="G138" t="s">
        <v>1095</v>
      </c>
      <c r="H138" t="s">
        <v>1184</v>
      </c>
      <c r="I138" t="s">
        <v>1392</v>
      </c>
      <c r="K138" t="s">
        <v>1436</v>
      </c>
      <c r="L138">
        <v>2</v>
      </c>
      <c r="M138">
        <v>1</v>
      </c>
      <c r="N138">
        <v>0</v>
      </c>
      <c r="P138">
        <v>39000</v>
      </c>
      <c r="Q138">
        <v>11433</v>
      </c>
      <c r="R138" t="s">
        <v>1446</v>
      </c>
      <c r="S138" t="s">
        <v>1454</v>
      </c>
      <c r="U138" t="s">
        <v>1473</v>
      </c>
      <c r="V138" t="s">
        <v>1472</v>
      </c>
      <c r="AA138" t="s">
        <v>1502</v>
      </c>
      <c r="AC138">
        <v>0</v>
      </c>
      <c r="AD138">
        <v>0</v>
      </c>
      <c r="AF138">
        <v>0</v>
      </c>
      <c r="AG138">
        <v>0</v>
      </c>
      <c r="AH138">
        <v>0</v>
      </c>
      <c r="AI138">
        <v>0</v>
      </c>
    </row>
    <row r="139" spans="1:35">
      <c r="A139" s="1">
        <f>HYPERLINK("https://lsnyc.legalserver.org/matter/dynamic-profile/view/1863842","18-1863842")</f>
        <v>0</v>
      </c>
      <c r="B139" t="s">
        <v>36</v>
      </c>
      <c r="C139" t="s">
        <v>59</v>
      </c>
      <c r="D139" t="s">
        <v>193</v>
      </c>
      <c r="E139" t="s">
        <v>626</v>
      </c>
      <c r="F139">
        <v>2093</v>
      </c>
      <c r="G139" t="s">
        <v>1096</v>
      </c>
      <c r="H139" t="s">
        <v>1326</v>
      </c>
      <c r="I139" t="s">
        <v>1363</v>
      </c>
      <c r="K139" t="s">
        <v>1436</v>
      </c>
      <c r="L139">
        <v>4</v>
      </c>
      <c r="M139">
        <v>0</v>
      </c>
      <c r="N139">
        <v>0</v>
      </c>
      <c r="O139" t="s">
        <v>1441</v>
      </c>
      <c r="P139">
        <v>91500</v>
      </c>
      <c r="Q139">
        <v>11419</v>
      </c>
      <c r="R139" t="s">
        <v>1446</v>
      </c>
      <c r="S139" t="s">
        <v>1454</v>
      </c>
      <c r="T139" t="s">
        <v>1452</v>
      </c>
      <c r="U139" t="s">
        <v>1473</v>
      </c>
      <c r="V139" t="s">
        <v>1471</v>
      </c>
      <c r="W139" t="s">
        <v>1490</v>
      </c>
      <c r="Y139" t="s">
        <v>1500</v>
      </c>
      <c r="AC139">
        <v>2523.52</v>
      </c>
      <c r="AD139">
        <v>0</v>
      </c>
      <c r="AF139">
        <v>0</v>
      </c>
      <c r="AG139">
        <v>0</v>
      </c>
      <c r="AH139">
        <v>0</v>
      </c>
      <c r="AI139">
        <v>0</v>
      </c>
    </row>
    <row r="140" spans="1:35">
      <c r="A140" s="1">
        <f>HYPERLINK("https://lsnyc.legalserver.org/matter/dynamic-profile/view/1864809","18-1864809")</f>
        <v>0</v>
      </c>
      <c r="B140" t="s">
        <v>38</v>
      </c>
      <c r="C140" t="s">
        <v>53</v>
      </c>
      <c r="D140" t="s">
        <v>194</v>
      </c>
      <c r="E140" t="s">
        <v>627</v>
      </c>
      <c r="F140">
        <v>2090</v>
      </c>
      <c r="G140" t="s">
        <v>1097</v>
      </c>
      <c r="H140" t="s">
        <v>1188</v>
      </c>
      <c r="I140" t="s">
        <v>1387</v>
      </c>
      <c r="K140" t="s">
        <v>1436</v>
      </c>
      <c r="L140">
        <v>1</v>
      </c>
      <c r="M140">
        <v>0</v>
      </c>
      <c r="N140">
        <v>0</v>
      </c>
      <c r="O140" t="s">
        <v>1439</v>
      </c>
      <c r="P140">
        <v>52000</v>
      </c>
      <c r="Q140">
        <v>10304</v>
      </c>
      <c r="R140" t="s">
        <v>1448</v>
      </c>
      <c r="S140" t="s">
        <v>1454</v>
      </c>
      <c r="U140" t="s">
        <v>1478</v>
      </c>
      <c r="V140" t="s">
        <v>1470</v>
      </c>
      <c r="Y140" t="s">
        <v>1498</v>
      </c>
      <c r="AC140">
        <v>0</v>
      </c>
      <c r="AD140">
        <v>0</v>
      </c>
      <c r="AF140">
        <v>0</v>
      </c>
      <c r="AG140">
        <v>0</v>
      </c>
      <c r="AH140">
        <v>0</v>
      </c>
      <c r="AI140">
        <v>0</v>
      </c>
    </row>
    <row r="141" spans="1:35">
      <c r="A141" s="1">
        <f>HYPERLINK("https://lsnyc.legalserver.org/matter/dynamic-profile/view/1865160","18-1865160")</f>
        <v>0</v>
      </c>
      <c r="B141" t="s">
        <v>36</v>
      </c>
      <c r="C141" t="s">
        <v>55</v>
      </c>
      <c r="D141" t="s">
        <v>195</v>
      </c>
      <c r="E141" t="s">
        <v>628</v>
      </c>
      <c r="F141">
        <v>2093</v>
      </c>
      <c r="G141" t="s">
        <v>1098</v>
      </c>
      <c r="H141" t="s">
        <v>1317</v>
      </c>
      <c r="I141" t="s">
        <v>1383</v>
      </c>
      <c r="K141" t="s">
        <v>1436</v>
      </c>
      <c r="L141">
        <v>2</v>
      </c>
      <c r="M141">
        <v>0</v>
      </c>
      <c r="N141">
        <v>0</v>
      </c>
      <c r="O141" t="s">
        <v>1440</v>
      </c>
      <c r="P141">
        <v>0</v>
      </c>
      <c r="Q141">
        <v>11433</v>
      </c>
      <c r="R141" t="s">
        <v>1446</v>
      </c>
      <c r="S141" t="s">
        <v>1453</v>
      </c>
      <c r="U141" t="s">
        <v>1478</v>
      </c>
      <c r="V141" t="s">
        <v>1472</v>
      </c>
      <c r="Y141" t="s">
        <v>1498</v>
      </c>
      <c r="AA141" t="s">
        <v>1502</v>
      </c>
      <c r="AC141">
        <v>0</v>
      </c>
      <c r="AD141">
        <v>0</v>
      </c>
      <c r="AF141">
        <v>0</v>
      </c>
      <c r="AG141">
        <v>0</v>
      </c>
      <c r="AH141">
        <v>0</v>
      </c>
      <c r="AI141">
        <v>0</v>
      </c>
    </row>
    <row r="142" spans="1:35">
      <c r="A142" s="1">
        <f>HYPERLINK("https://lsnyc.legalserver.org/matter/dynamic-profile/view/1867896","18-1867896")</f>
        <v>0</v>
      </c>
      <c r="B142" t="s">
        <v>36</v>
      </c>
      <c r="C142" t="s">
        <v>59</v>
      </c>
      <c r="D142" t="s">
        <v>196</v>
      </c>
      <c r="E142" t="s">
        <v>629</v>
      </c>
      <c r="F142">
        <v>2093</v>
      </c>
      <c r="G142" t="s">
        <v>1099</v>
      </c>
      <c r="H142" t="s">
        <v>1327</v>
      </c>
      <c r="I142" t="s">
        <v>1369</v>
      </c>
      <c r="K142" t="s">
        <v>1436</v>
      </c>
      <c r="L142">
        <v>4</v>
      </c>
      <c r="M142">
        <v>2</v>
      </c>
      <c r="N142">
        <v>0</v>
      </c>
      <c r="O142" t="s">
        <v>1441</v>
      </c>
      <c r="P142">
        <v>89168</v>
      </c>
      <c r="Q142">
        <v>11691</v>
      </c>
      <c r="R142" t="s">
        <v>1446</v>
      </c>
      <c r="S142" t="s">
        <v>1454</v>
      </c>
      <c r="T142" t="s">
        <v>1463</v>
      </c>
      <c r="U142" t="s">
        <v>1473</v>
      </c>
      <c r="Y142" t="s">
        <v>1510</v>
      </c>
      <c r="AC142">
        <v>0</v>
      </c>
      <c r="AD142">
        <v>0</v>
      </c>
      <c r="AE142">
        <v>39532.29</v>
      </c>
      <c r="AF142">
        <v>0</v>
      </c>
      <c r="AG142">
        <v>0</v>
      </c>
      <c r="AH142">
        <v>0</v>
      </c>
      <c r="AI142">
        <v>0</v>
      </c>
    </row>
    <row r="143" spans="1:35">
      <c r="A143" s="1">
        <f>HYPERLINK("https://lsnyc.legalserver.org/matter/dynamic-profile/view/1868569","18-1868569")</f>
        <v>0</v>
      </c>
      <c r="B143" t="s">
        <v>36</v>
      </c>
      <c r="C143" t="s">
        <v>51</v>
      </c>
      <c r="D143" t="s">
        <v>197</v>
      </c>
      <c r="E143" t="s">
        <v>630</v>
      </c>
      <c r="F143">
        <v>2093</v>
      </c>
      <c r="G143" t="s">
        <v>1100</v>
      </c>
      <c r="H143" t="s">
        <v>1184</v>
      </c>
      <c r="I143" t="s">
        <v>1330</v>
      </c>
      <c r="K143" t="s">
        <v>1436</v>
      </c>
      <c r="L143">
        <v>3</v>
      </c>
      <c r="M143">
        <v>1</v>
      </c>
      <c r="N143">
        <v>0</v>
      </c>
      <c r="O143" t="s">
        <v>1441</v>
      </c>
      <c r="P143">
        <v>91185.12</v>
      </c>
      <c r="Q143">
        <v>11413</v>
      </c>
      <c r="R143" t="s">
        <v>1446</v>
      </c>
      <c r="S143" t="s">
        <v>1454</v>
      </c>
      <c r="U143" t="s">
        <v>1478</v>
      </c>
      <c r="Y143" t="s">
        <v>1502</v>
      </c>
      <c r="AC143">
        <v>0</v>
      </c>
      <c r="AD143">
        <v>0</v>
      </c>
      <c r="AF143">
        <v>0</v>
      </c>
      <c r="AG143">
        <v>0</v>
      </c>
      <c r="AH143">
        <v>0</v>
      </c>
      <c r="AI143">
        <v>0</v>
      </c>
    </row>
    <row r="144" spans="1:35">
      <c r="A144" s="1">
        <f>HYPERLINK("https://lsnyc.legalserver.org/matter/dynamic-profile/view/1868589","18-1868589")</f>
        <v>0</v>
      </c>
      <c r="B144" t="s">
        <v>36</v>
      </c>
      <c r="C144" t="s">
        <v>51</v>
      </c>
      <c r="D144" t="s">
        <v>198</v>
      </c>
      <c r="E144" t="s">
        <v>631</v>
      </c>
      <c r="F144">
        <v>2093</v>
      </c>
      <c r="G144" t="s">
        <v>1100</v>
      </c>
      <c r="H144" t="s">
        <v>1322</v>
      </c>
      <c r="I144" t="s">
        <v>1393</v>
      </c>
      <c r="K144" t="s">
        <v>1436</v>
      </c>
      <c r="L144">
        <v>1</v>
      </c>
      <c r="M144">
        <v>1</v>
      </c>
      <c r="N144">
        <v>0</v>
      </c>
      <c r="O144" t="s">
        <v>1440</v>
      </c>
      <c r="P144">
        <v>16848</v>
      </c>
      <c r="Q144">
        <v>11434</v>
      </c>
      <c r="R144" t="s">
        <v>1446</v>
      </c>
      <c r="S144" t="s">
        <v>1453</v>
      </c>
      <c r="U144" t="s">
        <v>1472</v>
      </c>
      <c r="AC144">
        <v>0</v>
      </c>
      <c r="AD144">
        <v>0</v>
      </c>
      <c r="AF144">
        <v>0</v>
      </c>
      <c r="AG144">
        <v>0</v>
      </c>
      <c r="AH144">
        <v>0</v>
      </c>
      <c r="AI144">
        <v>0</v>
      </c>
    </row>
    <row r="145" spans="1:35">
      <c r="A145" s="1">
        <f>HYPERLINK("https://lsnyc.legalserver.org/matter/dynamic-profile/view/1868646","18-1868646")</f>
        <v>0</v>
      </c>
      <c r="B145" t="s">
        <v>36</v>
      </c>
      <c r="C145" t="s">
        <v>59</v>
      </c>
      <c r="D145" t="s">
        <v>199</v>
      </c>
      <c r="E145" t="s">
        <v>632</v>
      </c>
      <c r="F145">
        <v>2093</v>
      </c>
      <c r="G145" t="s">
        <v>1101</v>
      </c>
      <c r="H145" t="s">
        <v>1252</v>
      </c>
      <c r="I145" t="s">
        <v>1338</v>
      </c>
      <c r="K145" t="s">
        <v>1436</v>
      </c>
      <c r="L145">
        <v>3</v>
      </c>
      <c r="M145">
        <v>1</v>
      </c>
      <c r="N145">
        <v>0</v>
      </c>
      <c r="O145" t="s">
        <v>1440</v>
      </c>
      <c r="P145">
        <v>37680</v>
      </c>
      <c r="Q145">
        <v>11413</v>
      </c>
      <c r="R145" t="s">
        <v>1446</v>
      </c>
      <c r="S145" t="s">
        <v>1454</v>
      </c>
      <c r="U145" t="s">
        <v>1473</v>
      </c>
      <c r="V145" t="s">
        <v>1471</v>
      </c>
      <c r="W145" t="s">
        <v>1491</v>
      </c>
      <c r="Y145" t="s">
        <v>1510</v>
      </c>
      <c r="AC145">
        <v>0</v>
      </c>
      <c r="AD145">
        <v>0</v>
      </c>
      <c r="AE145" t="s">
        <v>1531</v>
      </c>
      <c r="AF145">
        <v>0</v>
      </c>
      <c r="AG145">
        <v>0</v>
      </c>
      <c r="AH145">
        <v>0</v>
      </c>
      <c r="AI145">
        <v>0</v>
      </c>
    </row>
    <row r="146" spans="1:35">
      <c r="A146" s="1">
        <f>HYPERLINK("https://lsnyc.legalserver.org/matter/dynamic-profile/view/1868632","18-1868632")</f>
        <v>0</v>
      </c>
      <c r="B146" t="s">
        <v>38</v>
      </c>
      <c r="C146" t="s">
        <v>45</v>
      </c>
      <c r="D146" t="s">
        <v>200</v>
      </c>
      <c r="E146" t="s">
        <v>633</v>
      </c>
      <c r="F146">
        <v>2090</v>
      </c>
      <c r="G146" t="s">
        <v>1102</v>
      </c>
      <c r="H146" t="s">
        <v>1313</v>
      </c>
      <c r="I146" t="s">
        <v>1394</v>
      </c>
      <c r="K146" t="s">
        <v>1436</v>
      </c>
      <c r="L146">
        <v>2</v>
      </c>
      <c r="M146">
        <v>3</v>
      </c>
      <c r="N146">
        <v>0</v>
      </c>
      <c r="P146">
        <v>103600</v>
      </c>
      <c r="Q146">
        <v>10310</v>
      </c>
      <c r="R146" t="s">
        <v>1448</v>
      </c>
      <c r="S146" t="s">
        <v>1452</v>
      </c>
      <c r="U146" t="s">
        <v>1473</v>
      </c>
      <c r="AC146">
        <v>0</v>
      </c>
      <c r="AD146">
        <v>0</v>
      </c>
      <c r="AF146">
        <v>0</v>
      </c>
      <c r="AG146">
        <v>0</v>
      </c>
      <c r="AH146">
        <v>0</v>
      </c>
      <c r="AI146">
        <v>0</v>
      </c>
    </row>
    <row r="147" spans="1:35">
      <c r="A147" s="1">
        <f>HYPERLINK("https://lsnyc.legalserver.org/matter/dynamic-profile/view/1870676","18-1870676")</f>
        <v>0</v>
      </c>
      <c r="B147" t="s">
        <v>36</v>
      </c>
      <c r="C147" t="s">
        <v>59</v>
      </c>
      <c r="D147" t="s">
        <v>201</v>
      </c>
      <c r="E147" t="s">
        <v>634</v>
      </c>
      <c r="F147">
        <v>2093</v>
      </c>
      <c r="G147" t="s">
        <v>1103</v>
      </c>
      <c r="H147" t="s">
        <v>1167</v>
      </c>
      <c r="I147" t="s">
        <v>774</v>
      </c>
      <c r="K147" t="s">
        <v>1436</v>
      </c>
      <c r="L147">
        <v>1</v>
      </c>
      <c r="M147">
        <v>0</v>
      </c>
      <c r="N147">
        <v>0</v>
      </c>
      <c r="O147" t="s">
        <v>1441</v>
      </c>
      <c r="P147">
        <v>21600</v>
      </c>
      <c r="Q147">
        <v>11436</v>
      </c>
      <c r="R147" t="s">
        <v>1446</v>
      </c>
      <c r="S147" t="s">
        <v>1453</v>
      </c>
      <c r="U147" t="s">
        <v>1470</v>
      </c>
      <c r="V147" t="s">
        <v>1484</v>
      </c>
      <c r="Y147" t="s">
        <v>1498</v>
      </c>
      <c r="AA147" t="s">
        <v>1507</v>
      </c>
      <c r="AC147">
        <v>0</v>
      </c>
      <c r="AD147">
        <v>0</v>
      </c>
      <c r="AF147">
        <v>0</v>
      </c>
      <c r="AG147">
        <v>0</v>
      </c>
      <c r="AH147">
        <v>0</v>
      </c>
      <c r="AI147">
        <v>0</v>
      </c>
    </row>
    <row r="148" spans="1:35">
      <c r="A148" s="1">
        <f>HYPERLINK("https://lsnyc.legalserver.org/matter/dynamic-profile/view/1871382","18-1871382")</f>
        <v>0</v>
      </c>
      <c r="B148" t="s">
        <v>37</v>
      </c>
      <c r="C148" t="s">
        <v>54</v>
      </c>
      <c r="D148" t="s">
        <v>151</v>
      </c>
      <c r="E148" t="s">
        <v>635</v>
      </c>
      <c r="F148">
        <v>2091</v>
      </c>
      <c r="G148" t="s">
        <v>1104</v>
      </c>
      <c r="H148" t="s">
        <v>1321</v>
      </c>
      <c r="K148" t="s">
        <v>1436</v>
      </c>
      <c r="L148">
        <v>4</v>
      </c>
      <c r="M148">
        <v>3</v>
      </c>
      <c r="N148">
        <v>0</v>
      </c>
      <c r="P148">
        <v>141880</v>
      </c>
      <c r="Q148">
        <v>11203</v>
      </c>
      <c r="R148" t="s">
        <v>1447</v>
      </c>
      <c r="S148" t="s">
        <v>1462</v>
      </c>
      <c r="U148" t="s">
        <v>1478</v>
      </c>
      <c r="AC148">
        <v>0</v>
      </c>
      <c r="AD148">
        <v>0</v>
      </c>
      <c r="AF148">
        <v>0</v>
      </c>
      <c r="AG148">
        <v>0</v>
      </c>
      <c r="AH148">
        <v>0</v>
      </c>
      <c r="AI148">
        <v>0</v>
      </c>
    </row>
    <row r="149" spans="1:35">
      <c r="A149" s="1">
        <f>HYPERLINK("https://lsnyc.legalserver.org/matter/dynamic-profile/view/1873679","18-1873679")</f>
        <v>0</v>
      </c>
      <c r="B149" t="s">
        <v>37</v>
      </c>
      <c r="C149" t="s">
        <v>41</v>
      </c>
      <c r="D149" t="s">
        <v>188</v>
      </c>
      <c r="E149" t="s">
        <v>636</v>
      </c>
      <c r="F149">
        <v>2091</v>
      </c>
      <c r="G149" t="s">
        <v>1105</v>
      </c>
      <c r="H149" t="s">
        <v>1321</v>
      </c>
      <c r="I149" t="s">
        <v>1351</v>
      </c>
      <c r="K149" t="s">
        <v>1436</v>
      </c>
      <c r="L149">
        <v>3</v>
      </c>
      <c r="M149">
        <v>0</v>
      </c>
      <c r="N149">
        <v>0</v>
      </c>
      <c r="O149" t="s">
        <v>1440</v>
      </c>
      <c r="P149">
        <v>43000</v>
      </c>
      <c r="Q149">
        <v>11208</v>
      </c>
      <c r="R149" t="s">
        <v>1447</v>
      </c>
      <c r="S149" t="s">
        <v>1459</v>
      </c>
      <c r="U149" t="s">
        <v>1478</v>
      </c>
      <c r="AC149">
        <v>0</v>
      </c>
      <c r="AD149">
        <v>0</v>
      </c>
      <c r="AF149">
        <v>0</v>
      </c>
      <c r="AG149">
        <v>0</v>
      </c>
      <c r="AH149">
        <v>0</v>
      </c>
      <c r="AI149">
        <v>0</v>
      </c>
    </row>
    <row r="150" spans="1:35">
      <c r="A150" s="1">
        <f>HYPERLINK("https://lsnyc.legalserver.org/matter/dynamic-profile/view/1873867","18-1873867")</f>
        <v>0</v>
      </c>
      <c r="B150" t="s">
        <v>36</v>
      </c>
      <c r="C150" t="s">
        <v>52</v>
      </c>
      <c r="D150" t="s">
        <v>202</v>
      </c>
      <c r="E150" t="s">
        <v>637</v>
      </c>
      <c r="F150">
        <v>2093</v>
      </c>
      <c r="G150" t="s">
        <v>1106</v>
      </c>
      <c r="H150" t="s">
        <v>1188</v>
      </c>
      <c r="I150" t="s">
        <v>1395</v>
      </c>
      <c r="K150" t="s">
        <v>1436</v>
      </c>
      <c r="L150">
        <v>3</v>
      </c>
      <c r="M150">
        <v>0</v>
      </c>
      <c r="N150">
        <v>1</v>
      </c>
      <c r="O150" t="s">
        <v>1440</v>
      </c>
      <c r="P150">
        <v>12756</v>
      </c>
      <c r="Q150">
        <v>11693</v>
      </c>
      <c r="R150" t="s">
        <v>1446</v>
      </c>
      <c r="S150" t="s">
        <v>1464</v>
      </c>
      <c r="U150" t="s">
        <v>1472</v>
      </c>
      <c r="V150" t="s">
        <v>1473</v>
      </c>
      <c r="Y150" t="s">
        <v>1502</v>
      </c>
      <c r="AC150">
        <v>0</v>
      </c>
      <c r="AD150">
        <v>0</v>
      </c>
      <c r="AF150">
        <v>0</v>
      </c>
      <c r="AG150">
        <v>0</v>
      </c>
      <c r="AH150">
        <v>0</v>
      </c>
      <c r="AI150">
        <v>0</v>
      </c>
    </row>
    <row r="151" spans="1:35">
      <c r="A151" s="1">
        <f>HYPERLINK("https://lsnyc.legalserver.org/matter/dynamic-profile/view/1877388","18-1877388")</f>
        <v>0</v>
      </c>
      <c r="B151" t="s">
        <v>37</v>
      </c>
      <c r="C151" t="s">
        <v>50</v>
      </c>
      <c r="D151" t="s">
        <v>203</v>
      </c>
      <c r="E151" t="s">
        <v>638</v>
      </c>
      <c r="F151">
        <v>2091</v>
      </c>
      <c r="G151" t="s">
        <v>1107</v>
      </c>
      <c r="H151" t="s">
        <v>1318</v>
      </c>
      <c r="I151" t="s">
        <v>1396</v>
      </c>
      <c r="K151" t="s">
        <v>1436</v>
      </c>
      <c r="L151">
        <v>1</v>
      </c>
      <c r="M151">
        <v>0</v>
      </c>
      <c r="N151">
        <v>1</v>
      </c>
      <c r="O151" t="s">
        <v>1441</v>
      </c>
      <c r="P151">
        <v>34728</v>
      </c>
      <c r="Q151">
        <v>11236</v>
      </c>
      <c r="R151" t="s">
        <v>1447</v>
      </c>
      <c r="S151" t="s">
        <v>1454</v>
      </c>
      <c r="U151" t="s">
        <v>1478</v>
      </c>
      <c r="Y151" t="s">
        <v>1502</v>
      </c>
      <c r="AA151" t="s">
        <v>1498</v>
      </c>
      <c r="AC151">
        <v>0</v>
      </c>
      <c r="AD151">
        <v>0</v>
      </c>
      <c r="AF151">
        <v>0</v>
      </c>
      <c r="AG151">
        <v>0</v>
      </c>
      <c r="AH151">
        <v>0</v>
      </c>
      <c r="AI151">
        <v>0</v>
      </c>
    </row>
    <row r="152" spans="1:35">
      <c r="A152" s="1">
        <f>HYPERLINK("https://lsnyc.legalserver.org/matter/dynamic-profile/view/1875943","18-1875943")</f>
        <v>0</v>
      </c>
      <c r="B152" t="s">
        <v>36</v>
      </c>
      <c r="C152" t="s">
        <v>47</v>
      </c>
      <c r="D152" t="s">
        <v>161</v>
      </c>
      <c r="E152" t="s">
        <v>639</v>
      </c>
      <c r="F152">
        <v>2093</v>
      </c>
      <c r="G152" t="s">
        <v>1108</v>
      </c>
      <c r="H152" t="s">
        <v>1315</v>
      </c>
      <c r="K152" t="s">
        <v>1436</v>
      </c>
      <c r="L152">
        <v>1</v>
      </c>
      <c r="M152">
        <v>0</v>
      </c>
      <c r="N152">
        <v>1</v>
      </c>
      <c r="P152">
        <v>37200</v>
      </c>
      <c r="Q152">
        <v>11368</v>
      </c>
      <c r="R152" t="s">
        <v>1446</v>
      </c>
      <c r="S152" t="s">
        <v>1464</v>
      </c>
      <c r="U152" t="s">
        <v>1475</v>
      </c>
      <c r="V152" t="s">
        <v>1476</v>
      </c>
      <c r="Y152" t="s">
        <v>1498</v>
      </c>
      <c r="AC152">
        <v>0</v>
      </c>
      <c r="AD152">
        <v>0</v>
      </c>
      <c r="AF152">
        <v>0</v>
      </c>
      <c r="AG152">
        <v>0</v>
      </c>
      <c r="AH152">
        <v>0</v>
      </c>
      <c r="AI152">
        <v>0</v>
      </c>
    </row>
    <row r="153" spans="1:35">
      <c r="A153" s="1">
        <f>HYPERLINK("https://lsnyc.legalserver.org/matter/dynamic-profile/view/1874237","18-1874237")</f>
        <v>0</v>
      </c>
      <c r="B153" t="s">
        <v>38</v>
      </c>
      <c r="C153" t="s">
        <v>53</v>
      </c>
      <c r="D153" t="s">
        <v>204</v>
      </c>
      <c r="E153" t="s">
        <v>640</v>
      </c>
      <c r="F153">
        <v>2090</v>
      </c>
      <c r="G153" t="s">
        <v>1023</v>
      </c>
      <c r="H153" t="s">
        <v>1313</v>
      </c>
      <c r="I153" t="s">
        <v>1394</v>
      </c>
      <c r="K153" t="s">
        <v>1436</v>
      </c>
      <c r="L153">
        <v>3</v>
      </c>
      <c r="M153">
        <v>0</v>
      </c>
      <c r="N153">
        <v>0</v>
      </c>
      <c r="P153">
        <v>75000</v>
      </c>
      <c r="Q153">
        <v>10305</v>
      </c>
      <c r="R153" t="s">
        <v>1448</v>
      </c>
      <c r="S153" t="s">
        <v>1453</v>
      </c>
      <c r="U153" t="s">
        <v>1478</v>
      </c>
      <c r="AC153">
        <v>0</v>
      </c>
      <c r="AD153">
        <v>0</v>
      </c>
      <c r="AF153">
        <v>0</v>
      </c>
      <c r="AG153">
        <v>0</v>
      </c>
      <c r="AH153">
        <v>0</v>
      </c>
      <c r="AI153">
        <v>0</v>
      </c>
    </row>
    <row r="154" spans="1:35">
      <c r="A154" s="1">
        <f>HYPERLINK("https://lsnyc.legalserver.org/matter/dynamic-profile/view/1880558","18-1880558")</f>
        <v>0</v>
      </c>
      <c r="B154" t="s">
        <v>36</v>
      </c>
      <c r="C154" t="s">
        <v>55</v>
      </c>
      <c r="D154" t="s">
        <v>205</v>
      </c>
      <c r="E154" t="s">
        <v>546</v>
      </c>
      <c r="F154">
        <v>2093</v>
      </c>
      <c r="G154" t="s">
        <v>1109</v>
      </c>
      <c r="H154" t="s">
        <v>1317</v>
      </c>
      <c r="I154" t="s">
        <v>1362</v>
      </c>
      <c r="K154" t="s">
        <v>1436</v>
      </c>
      <c r="L154">
        <v>1</v>
      </c>
      <c r="M154">
        <v>0</v>
      </c>
      <c r="N154">
        <v>0</v>
      </c>
      <c r="O154" t="s">
        <v>1440</v>
      </c>
      <c r="P154">
        <v>21682.96</v>
      </c>
      <c r="Q154">
        <v>11413</v>
      </c>
      <c r="R154" t="s">
        <v>1446</v>
      </c>
      <c r="S154" t="s">
        <v>1458</v>
      </c>
      <c r="U154" t="s">
        <v>1472</v>
      </c>
      <c r="V154" t="s">
        <v>1473</v>
      </c>
      <c r="W154" t="s">
        <v>1497</v>
      </c>
      <c r="AC154">
        <v>0</v>
      </c>
      <c r="AD154">
        <v>0</v>
      </c>
      <c r="AF154">
        <v>0</v>
      </c>
      <c r="AG154">
        <v>0</v>
      </c>
      <c r="AH154">
        <v>0</v>
      </c>
      <c r="AI154">
        <v>0</v>
      </c>
    </row>
    <row r="155" spans="1:35">
      <c r="A155" s="1">
        <f>HYPERLINK("https://lsnyc.legalserver.org/matter/dynamic-profile/view/1880624","18-1880624")</f>
        <v>0</v>
      </c>
      <c r="B155" t="s">
        <v>38</v>
      </c>
      <c r="C155" t="s">
        <v>45</v>
      </c>
      <c r="D155" t="s">
        <v>206</v>
      </c>
      <c r="E155" t="s">
        <v>641</v>
      </c>
      <c r="F155">
        <v>2090</v>
      </c>
      <c r="G155" t="s">
        <v>1029</v>
      </c>
      <c r="H155" t="s">
        <v>1188</v>
      </c>
      <c r="I155" t="s">
        <v>1362</v>
      </c>
      <c r="K155" t="s">
        <v>1436</v>
      </c>
      <c r="L155">
        <v>1</v>
      </c>
      <c r="M155">
        <v>0</v>
      </c>
      <c r="N155">
        <v>2</v>
      </c>
      <c r="O155" t="s">
        <v>1441</v>
      </c>
      <c r="P155">
        <v>22164</v>
      </c>
      <c r="Q155">
        <v>10310</v>
      </c>
      <c r="R155" t="s">
        <v>1448</v>
      </c>
      <c r="S155" t="s">
        <v>1454</v>
      </c>
      <c r="U155" t="s">
        <v>1473</v>
      </c>
      <c r="V155" t="s">
        <v>1474</v>
      </c>
      <c r="AC155">
        <v>0</v>
      </c>
      <c r="AD155">
        <v>0</v>
      </c>
      <c r="AF155">
        <v>0</v>
      </c>
      <c r="AG155">
        <v>0</v>
      </c>
      <c r="AH155">
        <v>0</v>
      </c>
      <c r="AI155">
        <v>0</v>
      </c>
    </row>
    <row r="156" spans="1:35">
      <c r="A156" s="1">
        <f>HYPERLINK("https://lsnyc.legalserver.org/matter/dynamic-profile/view/1864685","18-1864685")</f>
        <v>0</v>
      </c>
      <c r="B156" t="s">
        <v>38</v>
      </c>
      <c r="C156" t="s">
        <v>45</v>
      </c>
      <c r="D156" t="s">
        <v>207</v>
      </c>
      <c r="E156" t="s">
        <v>642</v>
      </c>
      <c r="F156">
        <v>2090</v>
      </c>
      <c r="G156" t="s">
        <v>1110</v>
      </c>
      <c r="H156" t="s">
        <v>1315</v>
      </c>
      <c r="I156" t="s">
        <v>1397</v>
      </c>
      <c r="K156" t="s">
        <v>1436</v>
      </c>
      <c r="L156">
        <v>1</v>
      </c>
      <c r="M156">
        <v>0</v>
      </c>
      <c r="N156">
        <v>0</v>
      </c>
      <c r="P156">
        <v>22100</v>
      </c>
      <c r="Q156">
        <v>10304</v>
      </c>
      <c r="R156" t="s">
        <v>1448</v>
      </c>
      <c r="S156" t="s">
        <v>1454</v>
      </c>
      <c r="T156" t="s">
        <v>1452</v>
      </c>
      <c r="U156" t="s">
        <v>1470</v>
      </c>
      <c r="AC156">
        <v>0</v>
      </c>
      <c r="AD156">
        <v>0</v>
      </c>
      <c r="AF156">
        <v>0</v>
      </c>
      <c r="AG156">
        <v>0</v>
      </c>
      <c r="AH156">
        <v>0</v>
      </c>
      <c r="AI156">
        <v>0</v>
      </c>
    </row>
    <row r="157" spans="1:35">
      <c r="A157" s="1">
        <f>HYPERLINK("https://lsnyc.legalserver.org/matter/dynamic-profile/view/1881966","18-1881966")</f>
        <v>0</v>
      </c>
      <c r="B157" t="s">
        <v>36</v>
      </c>
      <c r="C157" t="s">
        <v>59</v>
      </c>
      <c r="D157" t="s">
        <v>208</v>
      </c>
      <c r="E157" t="s">
        <v>643</v>
      </c>
      <c r="F157">
        <v>2093</v>
      </c>
      <c r="G157" t="s">
        <v>1111</v>
      </c>
      <c r="H157" t="s">
        <v>1188</v>
      </c>
      <c r="I157" t="s">
        <v>1357</v>
      </c>
      <c r="K157" t="s">
        <v>1436</v>
      </c>
      <c r="L157">
        <v>2</v>
      </c>
      <c r="M157">
        <v>2</v>
      </c>
      <c r="N157">
        <v>0</v>
      </c>
      <c r="O157" t="s">
        <v>1440</v>
      </c>
      <c r="P157">
        <v>140400</v>
      </c>
      <c r="Q157">
        <v>11411</v>
      </c>
      <c r="R157" t="s">
        <v>1446</v>
      </c>
      <c r="S157" t="s">
        <v>1452</v>
      </c>
      <c r="U157" t="s">
        <v>1470</v>
      </c>
      <c r="V157" t="s">
        <v>1471</v>
      </c>
      <c r="AC157">
        <v>0</v>
      </c>
      <c r="AD157">
        <v>0</v>
      </c>
      <c r="AF157">
        <v>0</v>
      </c>
      <c r="AG157">
        <v>0</v>
      </c>
      <c r="AH157">
        <v>0</v>
      </c>
      <c r="AI157">
        <v>0</v>
      </c>
    </row>
    <row r="158" spans="1:35">
      <c r="A158" s="1">
        <f>HYPERLINK("https://lsnyc.legalserver.org/matter/dynamic-profile/view/1881969","18-1881969")</f>
        <v>0</v>
      </c>
      <c r="B158" t="s">
        <v>35</v>
      </c>
      <c r="C158" t="s">
        <v>39</v>
      </c>
      <c r="D158" t="s">
        <v>146</v>
      </c>
      <c r="E158" t="s">
        <v>582</v>
      </c>
      <c r="F158">
        <v>2094</v>
      </c>
      <c r="G158" t="s">
        <v>1111</v>
      </c>
      <c r="H158" t="s">
        <v>1139</v>
      </c>
      <c r="I158" t="s">
        <v>1367</v>
      </c>
      <c r="K158" t="s">
        <v>1436</v>
      </c>
      <c r="L158">
        <v>1</v>
      </c>
      <c r="M158">
        <v>0</v>
      </c>
      <c r="N158">
        <v>1</v>
      </c>
      <c r="O158" t="s">
        <v>1441</v>
      </c>
      <c r="P158">
        <v>16800</v>
      </c>
      <c r="Q158">
        <v>10456</v>
      </c>
      <c r="R158" t="s">
        <v>1445</v>
      </c>
      <c r="S158" t="s">
        <v>1466</v>
      </c>
      <c r="T158" t="s">
        <v>1467</v>
      </c>
      <c r="U158" t="s">
        <v>1478</v>
      </c>
      <c r="Y158" t="s">
        <v>1501</v>
      </c>
      <c r="AC158">
        <v>0</v>
      </c>
      <c r="AD158">
        <v>0</v>
      </c>
      <c r="AF158">
        <v>0</v>
      </c>
      <c r="AG158">
        <v>0</v>
      </c>
      <c r="AH158">
        <v>0</v>
      </c>
      <c r="AI158">
        <v>0</v>
      </c>
    </row>
    <row r="159" spans="1:35">
      <c r="A159" s="1">
        <f>HYPERLINK("https://lsnyc.legalserver.org/matter/dynamic-profile/view/1882086","18-1882086")</f>
        <v>0</v>
      </c>
      <c r="B159" t="s">
        <v>37</v>
      </c>
      <c r="C159" t="s">
        <v>50</v>
      </c>
      <c r="D159" t="s">
        <v>209</v>
      </c>
      <c r="E159" t="s">
        <v>644</v>
      </c>
      <c r="F159">
        <v>2091</v>
      </c>
      <c r="G159" t="s">
        <v>1112</v>
      </c>
      <c r="H159" t="s">
        <v>1321</v>
      </c>
      <c r="I159" t="s">
        <v>1351</v>
      </c>
      <c r="J159" t="s">
        <v>1356</v>
      </c>
      <c r="K159" t="s">
        <v>1436</v>
      </c>
      <c r="L159">
        <v>2</v>
      </c>
      <c r="M159">
        <v>0</v>
      </c>
      <c r="N159">
        <v>0</v>
      </c>
      <c r="O159" t="s">
        <v>1441</v>
      </c>
      <c r="P159">
        <v>71200</v>
      </c>
      <c r="Q159">
        <v>11236</v>
      </c>
      <c r="R159" t="s">
        <v>1447</v>
      </c>
      <c r="S159" t="s">
        <v>1458</v>
      </c>
      <c r="U159" t="s">
        <v>1472</v>
      </c>
      <c r="V159" t="s">
        <v>1489</v>
      </c>
      <c r="Z159" t="s">
        <v>1502</v>
      </c>
      <c r="AB159" t="s">
        <v>1507</v>
      </c>
      <c r="AC159">
        <v>0</v>
      </c>
      <c r="AD159">
        <v>0</v>
      </c>
      <c r="AF159">
        <v>0</v>
      </c>
      <c r="AG159">
        <v>0</v>
      </c>
      <c r="AH159">
        <v>0</v>
      </c>
      <c r="AI159">
        <v>0</v>
      </c>
    </row>
    <row r="160" spans="1:35">
      <c r="A160" s="1">
        <f>HYPERLINK("https://lsnyc.legalserver.org/matter/dynamic-profile/view/1882678","18-1882678")</f>
        <v>0</v>
      </c>
      <c r="B160" t="s">
        <v>38</v>
      </c>
      <c r="C160" t="s">
        <v>44</v>
      </c>
      <c r="D160" t="s">
        <v>210</v>
      </c>
      <c r="E160" t="s">
        <v>645</v>
      </c>
      <c r="F160">
        <v>2090</v>
      </c>
      <c r="G160" t="s">
        <v>1113</v>
      </c>
      <c r="H160" t="s">
        <v>1313</v>
      </c>
      <c r="I160" t="s">
        <v>1348</v>
      </c>
      <c r="K160" t="s">
        <v>1436</v>
      </c>
      <c r="L160">
        <v>1</v>
      </c>
      <c r="M160">
        <v>0</v>
      </c>
      <c r="N160">
        <v>0</v>
      </c>
      <c r="P160">
        <v>23400</v>
      </c>
      <c r="Q160">
        <v>10314</v>
      </c>
      <c r="R160" t="s">
        <v>1448</v>
      </c>
      <c r="S160" t="s">
        <v>1453</v>
      </c>
      <c r="U160" t="s">
        <v>1470</v>
      </c>
      <c r="AC160">
        <v>0</v>
      </c>
      <c r="AD160">
        <v>0</v>
      </c>
      <c r="AF160">
        <v>0</v>
      </c>
      <c r="AG160">
        <v>0</v>
      </c>
      <c r="AH160">
        <v>0</v>
      </c>
      <c r="AI160">
        <v>0</v>
      </c>
    </row>
    <row r="161" spans="1:35">
      <c r="A161" s="1">
        <f>HYPERLINK("https://lsnyc.legalserver.org/matter/dynamic-profile/view/1883457","18-1883457")</f>
        <v>0</v>
      </c>
      <c r="B161" t="s">
        <v>36</v>
      </c>
      <c r="C161" t="s">
        <v>55</v>
      </c>
      <c r="D161" t="s">
        <v>211</v>
      </c>
      <c r="E161" t="s">
        <v>646</v>
      </c>
      <c r="F161">
        <v>2093</v>
      </c>
      <c r="G161" t="s">
        <v>1114</v>
      </c>
      <c r="H161" t="s">
        <v>1308</v>
      </c>
      <c r="I161" t="s">
        <v>1362</v>
      </c>
      <c r="K161" t="s">
        <v>1436</v>
      </c>
      <c r="L161">
        <v>1</v>
      </c>
      <c r="M161">
        <v>2</v>
      </c>
      <c r="N161">
        <v>0</v>
      </c>
      <c r="O161" t="s">
        <v>1440</v>
      </c>
      <c r="P161">
        <v>20800</v>
      </c>
      <c r="Q161">
        <v>11691</v>
      </c>
      <c r="R161" t="s">
        <v>1446</v>
      </c>
      <c r="S161" t="s">
        <v>1458</v>
      </c>
      <c r="U161" t="s">
        <v>1478</v>
      </c>
      <c r="V161" t="s">
        <v>1482</v>
      </c>
      <c r="Y161" t="s">
        <v>1514</v>
      </c>
      <c r="AA161" t="s">
        <v>1498</v>
      </c>
      <c r="AC161">
        <v>0</v>
      </c>
      <c r="AD161">
        <v>0</v>
      </c>
      <c r="AF161">
        <v>0</v>
      </c>
      <c r="AG161">
        <v>0</v>
      </c>
      <c r="AH161">
        <v>0</v>
      </c>
      <c r="AI161">
        <v>0</v>
      </c>
    </row>
    <row r="162" spans="1:35">
      <c r="A162" s="1">
        <f>HYPERLINK("https://lsnyc.legalserver.org/matter/dynamic-profile/view/1882222","18-1882222")</f>
        <v>0</v>
      </c>
      <c r="B162" t="s">
        <v>36</v>
      </c>
      <c r="C162" t="s">
        <v>59</v>
      </c>
      <c r="D162" t="s">
        <v>212</v>
      </c>
      <c r="E162" t="s">
        <v>647</v>
      </c>
      <c r="F162">
        <v>2093</v>
      </c>
      <c r="G162" t="s">
        <v>1115</v>
      </c>
      <c r="H162" t="s">
        <v>1315</v>
      </c>
      <c r="I162" t="s">
        <v>1347</v>
      </c>
      <c r="K162" t="s">
        <v>1436</v>
      </c>
      <c r="L162">
        <v>2</v>
      </c>
      <c r="M162">
        <v>1</v>
      </c>
      <c r="N162">
        <v>0</v>
      </c>
      <c r="O162" t="s">
        <v>1440</v>
      </c>
      <c r="P162">
        <v>65600.08</v>
      </c>
      <c r="Q162">
        <v>11436</v>
      </c>
      <c r="R162" t="s">
        <v>1446</v>
      </c>
      <c r="S162" t="s">
        <v>1454</v>
      </c>
      <c r="U162" t="s">
        <v>1473</v>
      </c>
      <c r="Y162" t="s">
        <v>1498</v>
      </c>
      <c r="AC162">
        <v>0</v>
      </c>
      <c r="AD162">
        <v>0</v>
      </c>
      <c r="AF162">
        <v>0</v>
      </c>
      <c r="AG162">
        <v>0</v>
      </c>
      <c r="AH162">
        <v>0</v>
      </c>
      <c r="AI162">
        <v>0</v>
      </c>
    </row>
    <row r="163" spans="1:35">
      <c r="A163" s="1">
        <f>HYPERLINK("https://lsnyc.legalserver.org/matter/dynamic-profile/view/1883866","18-1883866")</f>
        <v>0</v>
      </c>
      <c r="B163" t="s">
        <v>36</v>
      </c>
      <c r="C163" t="s">
        <v>55</v>
      </c>
      <c r="D163" t="s">
        <v>213</v>
      </c>
      <c r="E163" t="s">
        <v>648</v>
      </c>
      <c r="F163">
        <v>2093</v>
      </c>
      <c r="G163" t="s">
        <v>1115</v>
      </c>
      <c r="H163" t="s">
        <v>1167</v>
      </c>
      <c r="I163" t="s">
        <v>1330</v>
      </c>
      <c r="J163" t="s">
        <v>1365</v>
      </c>
      <c r="K163" t="s">
        <v>1436</v>
      </c>
      <c r="L163">
        <v>1</v>
      </c>
      <c r="M163">
        <v>0</v>
      </c>
      <c r="N163">
        <v>1</v>
      </c>
      <c r="O163" t="s">
        <v>1440</v>
      </c>
      <c r="P163">
        <v>12000</v>
      </c>
      <c r="Q163">
        <v>11422</v>
      </c>
      <c r="R163" t="s">
        <v>1446</v>
      </c>
      <c r="S163" t="s">
        <v>1468</v>
      </c>
      <c r="U163" t="s">
        <v>1475</v>
      </c>
      <c r="Y163" t="s">
        <v>1498</v>
      </c>
      <c r="AC163">
        <v>0</v>
      </c>
      <c r="AD163">
        <v>0</v>
      </c>
      <c r="AF163">
        <v>0</v>
      </c>
      <c r="AG163">
        <v>0</v>
      </c>
      <c r="AH163">
        <v>0</v>
      </c>
      <c r="AI163">
        <v>0</v>
      </c>
    </row>
    <row r="164" spans="1:35">
      <c r="A164" s="1">
        <f>HYPERLINK("https://lsnyc.legalserver.org/matter/dynamic-profile/view/1885044","18-1885044")</f>
        <v>0</v>
      </c>
      <c r="B164" t="s">
        <v>38</v>
      </c>
      <c r="C164" t="s">
        <v>44</v>
      </c>
      <c r="D164" t="s">
        <v>214</v>
      </c>
      <c r="E164" t="s">
        <v>649</v>
      </c>
      <c r="F164">
        <v>2090</v>
      </c>
      <c r="G164" t="s">
        <v>1116</v>
      </c>
      <c r="H164" t="s">
        <v>1320</v>
      </c>
      <c r="I164" t="s">
        <v>1371</v>
      </c>
      <c r="K164" t="s">
        <v>1436</v>
      </c>
      <c r="L164">
        <v>2</v>
      </c>
      <c r="M164">
        <v>1</v>
      </c>
      <c r="N164">
        <v>0</v>
      </c>
      <c r="O164" t="s">
        <v>1440</v>
      </c>
      <c r="P164">
        <v>90000</v>
      </c>
      <c r="Q164">
        <v>10310</v>
      </c>
      <c r="R164" t="s">
        <v>1448</v>
      </c>
      <c r="S164" t="s">
        <v>1452</v>
      </c>
      <c r="U164" t="s">
        <v>1472</v>
      </c>
      <c r="V164" t="s">
        <v>1470</v>
      </c>
      <c r="AC164">
        <v>0</v>
      </c>
      <c r="AD164">
        <v>0</v>
      </c>
      <c r="AF164">
        <v>0</v>
      </c>
      <c r="AG164">
        <v>0</v>
      </c>
      <c r="AH164">
        <v>0</v>
      </c>
      <c r="AI164">
        <v>0</v>
      </c>
    </row>
    <row r="165" spans="1:35">
      <c r="A165" s="1">
        <f>HYPERLINK("https://lsnyc.legalserver.org/matter/dynamic-profile/view/1885923","18-1885923")</f>
        <v>0</v>
      </c>
      <c r="B165" t="s">
        <v>35</v>
      </c>
      <c r="C165" t="s">
        <v>46</v>
      </c>
      <c r="D165" t="s">
        <v>188</v>
      </c>
      <c r="E165" t="s">
        <v>650</v>
      </c>
      <c r="F165">
        <v>2094</v>
      </c>
      <c r="G165" t="s">
        <v>1117</v>
      </c>
      <c r="H165" t="s">
        <v>1313</v>
      </c>
      <c r="I165" t="s">
        <v>1347</v>
      </c>
      <c r="K165" t="s">
        <v>1436</v>
      </c>
      <c r="L165">
        <v>2</v>
      </c>
      <c r="M165">
        <v>0</v>
      </c>
      <c r="N165">
        <v>0</v>
      </c>
      <c r="O165" t="s">
        <v>1441</v>
      </c>
      <c r="P165">
        <v>18500</v>
      </c>
      <c r="Q165">
        <v>10469</v>
      </c>
      <c r="R165" t="s">
        <v>1445</v>
      </c>
      <c r="S165" t="s">
        <v>1454</v>
      </c>
      <c r="T165" t="s">
        <v>1465</v>
      </c>
      <c r="U165" t="s">
        <v>1478</v>
      </c>
      <c r="AC165">
        <v>0</v>
      </c>
      <c r="AD165">
        <v>0</v>
      </c>
      <c r="AF165">
        <v>0</v>
      </c>
      <c r="AG165">
        <v>0</v>
      </c>
      <c r="AH165">
        <v>0</v>
      </c>
      <c r="AI165">
        <v>0</v>
      </c>
    </row>
    <row r="166" spans="1:35">
      <c r="A166" s="1">
        <f>HYPERLINK("https://lsnyc.legalserver.org/matter/dynamic-profile/view/1886371","18-1886371")</f>
        <v>0</v>
      </c>
      <c r="B166" t="s">
        <v>38</v>
      </c>
      <c r="C166" t="s">
        <v>44</v>
      </c>
      <c r="D166" t="s">
        <v>215</v>
      </c>
      <c r="E166" t="s">
        <v>651</v>
      </c>
      <c r="F166">
        <v>2090</v>
      </c>
      <c r="G166" t="s">
        <v>1118</v>
      </c>
      <c r="H166" t="s">
        <v>1257</v>
      </c>
      <c r="I166" t="s">
        <v>1342</v>
      </c>
      <c r="K166" t="s">
        <v>1436</v>
      </c>
      <c r="L166">
        <v>1</v>
      </c>
      <c r="M166">
        <v>1</v>
      </c>
      <c r="N166">
        <v>0</v>
      </c>
      <c r="O166" t="s">
        <v>1440</v>
      </c>
      <c r="P166">
        <v>16000</v>
      </c>
      <c r="Q166">
        <v>10312</v>
      </c>
      <c r="R166" t="s">
        <v>1448</v>
      </c>
      <c r="S166" t="s">
        <v>1455</v>
      </c>
      <c r="U166" t="s">
        <v>1472</v>
      </c>
      <c r="AC166">
        <v>0</v>
      </c>
      <c r="AD166">
        <v>0</v>
      </c>
      <c r="AF166">
        <v>0</v>
      </c>
      <c r="AG166">
        <v>0</v>
      </c>
      <c r="AH166">
        <v>0</v>
      </c>
      <c r="AI166">
        <v>0</v>
      </c>
    </row>
    <row r="167" spans="1:35">
      <c r="A167" s="1">
        <f>HYPERLINK("https://lsnyc.legalserver.org/matter/dynamic-profile/view/1886187","18-1886187")</f>
        <v>0</v>
      </c>
      <c r="B167" t="s">
        <v>38</v>
      </c>
      <c r="C167" t="s">
        <v>44</v>
      </c>
      <c r="D167" t="s">
        <v>216</v>
      </c>
      <c r="E167" t="s">
        <v>160</v>
      </c>
      <c r="F167">
        <v>2090</v>
      </c>
      <c r="G167" t="s">
        <v>1119</v>
      </c>
      <c r="H167" t="s">
        <v>1313</v>
      </c>
      <c r="I167" t="s">
        <v>1347</v>
      </c>
      <c r="K167" t="s">
        <v>1436</v>
      </c>
      <c r="L167">
        <v>1</v>
      </c>
      <c r="M167">
        <v>0</v>
      </c>
      <c r="N167">
        <v>1</v>
      </c>
      <c r="O167" t="s">
        <v>1441</v>
      </c>
      <c r="P167">
        <v>21480</v>
      </c>
      <c r="Q167">
        <v>10302</v>
      </c>
      <c r="R167" t="s">
        <v>1448</v>
      </c>
      <c r="S167" t="s">
        <v>1464</v>
      </c>
      <c r="U167" t="s">
        <v>1474</v>
      </c>
      <c r="Y167" t="s">
        <v>1498</v>
      </c>
      <c r="AC167">
        <v>0</v>
      </c>
      <c r="AD167">
        <v>0</v>
      </c>
      <c r="AF167">
        <v>0</v>
      </c>
      <c r="AG167">
        <v>0</v>
      </c>
      <c r="AH167">
        <v>0</v>
      </c>
      <c r="AI167">
        <v>0</v>
      </c>
    </row>
    <row r="168" spans="1:35">
      <c r="A168" s="1">
        <f>HYPERLINK("https://lsnyc.legalserver.org/matter/dynamic-profile/view/1886825","19-1886825")</f>
        <v>0</v>
      </c>
      <c r="B168" t="s">
        <v>36</v>
      </c>
      <c r="C168" t="s">
        <v>51</v>
      </c>
      <c r="D168" t="s">
        <v>103</v>
      </c>
      <c r="E168" t="s">
        <v>652</v>
      </c>
      <c r="F168">
        <v>2093</v>
      </c>
      <c r="G168" t="s">
        <v>1120</v>
      </c>
      <c r="H168" t="s">
        <v>989</v>
      </c>
      <c r="I168" t="s">
        <v>1358</v>
      </c>
      <c r="K168" t="s">
        <v>1436</v>
      </c>
      <c r="L168">
        <v>2</v>
      </c>
      <c r="M168">
        <v>1</v>
      </c>
      <c r="N168">
        <v>0</v>
      </c>
      <c r="O168" t="s">
        <v>1441</v>
      </c>
      <c r="P168">
        <v>26472</v>
      </c>
      <c r="Q168">
        <v>11413</v>
      </c>
      <c r="R168" t="s">
        <v>1446</v>
      </c>
      <c r="S168" t="s">
        <v>1460</v>
      </c>
      <c r="U168" t="s">
        <v>1472</v>
      </c>
      <c r="V168" t="s">
        <v>1475</v>
      </c>
      <c r="AC168">
        <v>0</v>
      </c>
      <c r="AD168">
        <v>0</v>
      </c>
      <c r="AF168">
        <v>0</v>
      </c>
      <c r="AG168">
        <v>0</v>
      </c>
      <c r="AH168">
        <v>0</v>
      </c>
      <c r="AI168">
        <v>0</v>
      </c>
    </row>
    <row r="169" spans="1:35">
      <c r="A169" s="1">
        <f>HYPERLINK("https://lsnyc.legalserver.org/matter/dynamic-profile/view/1887349","19-1887349")</f>
        <v>0</v>
      </c>
      <c r="B169" t="s">
        <v>36</v>
      </c>
      <c r="C169" t="s">
        <v>59</v>
      </c>
      <c r="D169" t="s">
        <v>217</v>
      </c>
      <c r="E169" t="s">
        <v>653</v>
      </c>
      <c r="F169">
        <v>2093</v>
      </c>
      <c r="G169" t="s">
        <v>1121</v>
      </c>
      <c r="H169" t="s">
        <v>1185</v>
      </c>
      <c r="I169" t="s">
        <v>1347</v>
      </c>
      <c r="K169" t="s">
        <v>1436</v>
      </c>
      <c r="L169">
        <v>2</v>
      </c>
      <c r="M169">
        <v>0</v>
      </c>
      <c r="N169">
        <v>1</v>
      </c>
      <c r="O169" t="s">
        <v>1440</v>
      </c>
      <c r="P169">
        <v>60400</v>
      </c>
      <c r="Q169">
        <v>11436</v>
      </c>
      <c r="R169" t="s">
        <v>1446</v>
      </c>
      <c r="S169" t="s">
        <v>1452</v>
      </c>
      <c r="T169" t="s">
        <v>1454</v>
      </c>
      <c r="U169" t="s">
        <v>1472</v>
      </c>
      <c r="Y169" t="s">
        <v>1502</v>
      </c>
      <c r="AC169">
        <v>0</v>
      </c>
      <c r="AD169">
        <v>0</v>
      </c>
      <c r="AF169">
        <v>0</v>
      </c>
      <c r="AG169">
        <v>0</v>
      </c>
      <c r="AH169">
        <v>0</v>
      </c>
      <c r="AI169">
        <v>0</v>
      </c>
    </row>
    <row r="170" spans="1:35">
      <c r="A170" s="1">
        <f>HYPERLINK("https://lsnyc.legalserver.org/matter/dynamic-profile/view/1888526","19-1888526")</f>
        <v>0</v>
      </c>
      <c r="B170" t="s">
        <v>36</v>
      </c>
      <c r="C170" t="s">
        <v>56</v>
      </c>
      <c r="D170" t="s">
        <v>218</v>
      </c>
      <c r="E170" t="s">
        <v>654</v>
      </c>
      <c r="F170">
        <v>2093</v>
      </c>
      <c r="G170" t="s">
        <v>1122</v>
      </c>
      <c r="H170" t="s">
        <v>1035</v>
      </c>
      <c r="K170" t="s">
        <v>1436</v>
      </c>
      <c r="L170">
        <v>4</v>
      </c>
      <c r="M170">
        <v>0</v>
      </c>
      <c r="N170">
        <v>2</v>
      </c>
      <c r="O170" t="s">
        <v>1441</v>
      </c>
      <c r="P170">
        <v>84000</v>
      </c>
      <c r="Q170">
        <v>11412</v>
      </c>
      <c r="R170" t="s">
        <v>1446</v>
      </c>
      <c r="S170" t="s">
        <v>1462</v>
      </c>
      <c r="U170" t="s">
        <v>1478</v>
      </c>
      <c r="AC170">
        <v>0</v>
      </c>
      <c r="AD170">
        <v>0</v>
      </c>
      <c r="AF170">
        <v>0</v>
      </c>
      <c r="AG170">
        <v>0</v>
      </c>
      <c r="AH170">
        <v>0</v>
      </c>
      <c r="AI170">
        <v>0</v>
      </c>
    </row>
    <row r="171" spans="1:35">
      <c r="A171" s="1">
        <f>HYPERLINK("https://lsnyc.legalserver.org/matter/dynamic-profile/view/1888606","19-1888606")</f>
        <v>0</v>
      </c>
      <c r="B171" t="s">
        <v>36</v>
      </c>
      <c r="C171" t="s">
        <v>55</v>
      </c>
      <c r="D171" t="s">
        <v>219</v>
      </c>
      <c r="E171" t="s">
        <v>655</v>
      </c>
      <c r="F171">
        <v>2093</v>
      </c>
      <c r="G171" t="s">
        <v>1123</v>
      </c>
      <c r="H171" t="s">
        <v>1317</v>
      </c>
      <c r="I171" t="s">
        <v>1398</v>
      </c>
      <c r="K171" t="s">
        <v>1436</v>
      </c>
      <c r="L171">
        <v>1</v>
      </c>
      <c r="M171">
        <v>0</v>
      </c>
      <c r="N171">
        <v>0</v>
      </c>
      <c r="O171" t="s">
        <v>1440</v>
      </c>
      <c r="P171">
        <v>38000</v>
      </c>
      <c r="Q171">
        <v>11411</v>
      </c>
      <c r="R171" t="s">
        <v>1446</v>
      </c>
      <c r="S171" t="s">
        <v>1454</v>
      </c>
      <c r="T171" t="s">
        <v>1458</v>
      </c>
      <c r="U171" t="s">
        <v>1472</v>
      </c>
      <c r="V171" t="s">
        <v>1475</v>
      </c>
      <c r="Y171" t="s">
        <v>1502</v>
      </c>
      <c r="AA171" t="s">
        <v>1498</v>
      </c>
      <c r="AC171">
        <v>0</v>
      </c>
      <c r="AD171">
        <v>0</v>
      </c>
      <c r="AF171">
        <v>0</v>
      </c>
      <c r="AG171">
        <v>0</v>
      </c>
      <c r="AH171">
        <v>0</v>
      </c>
      <c r="AI171">
        <v>0</v>
      </c>
    </row>
    <row r="172" spans="1:35">
      <c r="A172" s="1">
        <f>HYPERLINK("https://lsnyc.legalserver.org/matter/dynamic-profile/view/1888854","19-1888854")</f>
        <v>0</v>
      </c>
      <c r="B172" t="s">
        <v>36</v>
      </c>
      <c r="C172" t="s">
        <v>51</v>
      </c>
      <c r="D172" t="s">
        <v>160</v>
      </c>
      <c r="E172" t="s">
        <v>656</v>
      </c>
      <c r="F172">
        <v>2093</v>
      </c>
      <c r="G172" t="s">
        <v>1124</v>
      </c>
      <c r="H172" t="s">
        <v>1186</v>
      </c>
      <c r="I172" t="s">
        <v>1336</v>
      </c>
      <c r="J172" t="s">
        <v>1340</v>
      </c>
      <c r="K172" t="s">
        <v>1436</v>
      </c>
      <c r="L172">
        <v>2</v>
      </c>
      <c r="M172">
        <v>0</v>
      </c>
      <c r="N172">
        <v>0</v>
      </c>
      <c r="O172" t="s">
        <v>1440</v>
      </c>
      <c r="P172">
        <v>77280</v>
      </c>
      <c r="Q172">
        <v>11413</v>
      </c>
      <c r="R172" t="s">
        <v>1446</v>
      </c>
      <c r="S172" t="s">
        <v>1454</v>
      </c>
      <c r="U172" t="s">
        <v>1472</v>
      </c>
      <c r="V172" t="s">
        <v>1470</v>
      </c>
      <c r="AC172">
        <v>0</v>
      </c>
      <c r="AD172">
        <v>0</v>
      </c>
      <c r="AF172">
        <v>0</v>
      </c>
      <c r="AG172">
        <v>0</v>
      </c>
      <c r="AH172">
        <v>0</v>
      </c>
      <c r="AI172">
        <v>0</v>
      </c>
    </row>
    <row r="173" spans="1:35">
      <c r="A173" s="1">
        <f>HYPERLINK("https://lsnyc.legalserver.org/matter/dynamic-profile/view/1888621","19-1888621")</f>
        <v>0</v>
      </c>
      <c r="B173" t="s">
        <v>38</v>
      </c>
      <c r="C173" t="s">
        <v>45</v>
      </c>
      <c r="D173" t="s">
        <v>128</v>
      </c>
      <c r="E173" t="s">
        <v>657</v>
      </c>
      <c r="F173">
        <v>2090</v>
      </c>
      <c r="G173" t="s">
        <v>1125</v>
      </c>
      <c r="H173" t="s">
        <v>1188</v>
      </c>
      <c r="I173" t="s">
        <v>1342</v>
      </c>
      <c r="K173" t="s">
        <v>1436</v>
      </c>
      <c r="L173">
        <v>2</v>
      </c>
      <c r="M173">
        <v>0</v>
      </c>
      <c r="N173">
        <v>0</v>
      </c>
      <c r="O173" t="s">
        <v>1440</v>
      </c>
      <c r="P173">
        <v>67600</v>
      </c>
      <c r="Q173">
        <v>10303</v>
      </c>
      <c r="R173" t="s">
        <v>1448</v>
      </c>
      <c r="S173" t="s">
        <v>1463</v>
      </c>
      <c r="U173" t="s">
        <v>1474</v>
      </c>
      <c r="Y173" t="s">
        <v>1498</v>
      </c>
      <c r="AC173">
        <v>0</v>
      </c>
      <c r="AD173">
        <v>0</v>
      </c>
      <c r="AF173">
        <v>0</v>
      </c>
      <c r="AG173">
        <v>0</v>
      </c>
      <c r="AH173">
        <v>0</v>
      </c>
      <c r="AI173">
        <v>0</v>
      </c>
    </row>
    <row r="174" spans="1:35">
      <c r="A174" s="1">
        <f>HYPERLINK("https://lsnyc.legalserver.org/matter/dynamic-profile/view/1889515","19-1889515")</f>
        <v>0</v>
      </c>
      <c r="B174" t="s">
        <v>36</v>
      </c>
      <c r="C174" t="s">
        <v>59</v>
      </c>
      <c r="D174" t="s">
        <v>220</v>
      </c>
      <c r="E174" t="s">
        <v>658</v>
      </c>
      <c r="F174">
        <v>2093</v>
      </c>
      <c r="G174" t="s">
        <v>1033</v>
      </c>
      <c r="H174" t="s">
        <v>1184</v>
      </c>
      <c r="I174" t="s">
        <v>1362</v>
      </c>
      <c r="K174" t="s">
        <v>1436</v>
      </c>
      <c r="L174">
        <v>1</v>
      </c>
      <c r="M174">
        <v>0</v>
      </c>
      <c r="N174">
        <v>0</v>
      </c>
      <c r="O174" t="s">
        <v>1440</v>
      </c>
      <c r="P174">
        <v>42000</v>
      </c>
      <c r="Q174">
        <v>11412</v>
      </c>
      <c r="R174" t="s">
        <v>1446</v>
      </c>
      <c r="S174" t="s">
        <v>1458</v>
      </c>
      <c r="U174" t="s">
        <v>1473</v>
      </c>
      <c r="V174" t="s">
        <v>1471</v>
      </c>
      <c r="AC174">
        <v>0</v>
      </c>
      <c r="AD174">
        <v>0</v>
      </c>
      <c r="AF174">
        <v>0</v>
      </c>
      <c r="AG174">
        <v>0</v>
      </c>
      <c r="AH174">
        <v>0</v>
      </c>
      <c r="AI174">
        <v>0</v>
      </c>
    </row>
    <row r="175" spans="1:35">
      <c r="A175" s="1">
        <f>HYPERLINK("https://lsnyc.legalserver.org/matter/dynamic-profile/view/1888731","19-1888731")</f>
        <v>0</v>
      </c>
      <c r="B175" t="s">
        <v>38</v>
      </c>
      <c r="C175" t="s">
        <v>53</v>
      </c>
      <c r="D175" t="s">
        <v>221</v>
      </c>
      <c r="E175" t="s">
        <v>659</v>
      </c>
      <c r="F175">
        <v>2090</v>
      </c>
      <c r="G175" t="s">
        <v>1126</v>
      </c>
      <c r="H175" t="s">
        <v>1188</v>
      </c>
      <c r="I175" t="s">
        <v>1332</v>
      </c>
      <c r="K175" t="s">
        <v>1436</v>
      </c>
      <c r="L175">
        <v>2</v>
      </c>
      <c r="M175">
        <v>0</v>
      </c>
      <c r="N175">
        <v>0</v>
      </c>
      <c r="P175">
        <v>43420</v>
      </c>
      <c r="Q175">
        <v>10303</v>
      </c>
      <c r="R175" t="s">
        <v>1448</v>
      </c>
      <c r="S175" t="s">
        <v>1460</v>
      </c>
      <c r="T175" t="s">
        <v>1457</v>
      </c>
      <c r="U175" t="s">
        <v>1475</v>
      </c>
      <c r="AC175">
        <v>0</v>
      </c>
      <c r="AD175">
        <v>0</v>
      </c>
      <c r="AF175">
        <v>0</v>
      </c>
      <c r="AG175">
        <v>0</v>
      </c>
      <c r="AH175">
        <v>0</v>
      </c>
      <c r="AI175">
        <v>0</v>
      </c>
    </row>
    <row r="176" spans="1:35">
      <c r="A176" s="1">
        <f>HYPERLINK("https://lsnyc.legalserver.org/matter/dynamic-profile/view/1889979","19-1889979")</f>
        <v>0</v>
      </c>
      <c r="B176" t="s">
        <v>36</v>
      </c>
      <c r="C176" t="s">
        <v>40</v>
      </c>
      <c r="D176" t="s">
        <v>222</v>
      </c>
      <c r="E176" t="s">
        <v>353</v>
      </c>
      <c r="F176">
        <v>2093</v>
      </c>
      <c r="G176" t="s">
        <v>1127</v>
      </c>
      <c r="H176" t="s">
        <v>1318</v>
      </c>
      <c r="I176" t="s">
        <v>1352</v>
      </c>
      <c r="K176" t="s">
        <v>1436</v>
      </c>
      <c r="L176">
        <v>3</v>
      </c>
      <c r="M176">
        <v>0</v>
      </c>
      <c r="N176">
        <v>0</v>
      </c>
      <c r="O176" t="s">
        <v>1441</v>
      </c>
      <c r="P176">
        <v>45200</v>
      </c>
      <c r="Q176">
        <v>11434</v>
      </c>
      <c r="R176" t="s">
        <v>1446</v>
      </c>
      <c r="S176" t="s">
        <v>1463</v>
      </c>
      <c r="U176" t="s">
        <v>1481</v>
      </c>
      <c r="Y176" t="s">
        <v>1510</v>
      </c>
      <c r="AC176">
        <v>0</v>
      </c>
      <c r="AD176">
        <v>0</v>
      </c>
      <c r="AF176">
        <v>0</v>
      </c>
      <c r="AG176">
        <v>0</v>
      </c>
      <c r="AH176">
        <v>0</v>
      </c>
      <c r="AI176">
        <v>0</v>
      </c>
    </row>
    <row r="177" spans="1:35">
      <c r="A177" s="1">
        <f>HYPERLINK("https://lsnyc.legalserver.org/matter/dynamic-profile/view/1890254","19-1890254")</f>
        <v>0</v>
      </c>
      <c r="B177" t="s">
        <v>35</v>
      </c>
      <c r="C177" t="s">
        <v>43</v>
      </c>
      <c r="D177" t="s">
        <v>223</v>
      </c>
      <c r="E177" t="s">
        <v>660</v>
      </c>
      <c r="F177">
        <v>2094</v>
      </c>
      <c r="G177" t="s">
        <v>1128</v>
      </c>
      <c r="H177" t="s">
        <v>989</v>
      </c>
      <c r="I177" t="s">
        <v>1375</v>
      </c>
      <c r="K177" t="s">
        <v>1436</v>
      </c>
      <c r="L177">
        <v>3</v>
      </c>
      <c r="M177">
        <v>3</v>
      </c>
      <c r="N177">
        <v>0</v>
      </c>
      <c r="O177" t="s">
        <v>1440</v>
      </c>
      <c r="P177">
        <v>103400</v>
      </c>
      <c r="Q177">
        <v>10469</v>
      </c>
      <c r="R177" t="s">
        <v>1445</v>
      </c>
      <c r="S177" t="s">
        <v>1454</v>
      </c>
      <c r="U177" t="s">
        <v>1475</v>
      </c>
      <c r="W177" t="s">
        <v>1491</v>
      </c>
      <c r="Y177" t="s">
        <v>1498</v>
      </c>
      <c r="AC177">
        <v>2979.33</v>
      </c>
      <c r="AD177">
        <v>0</v>
      </c>
      <c r="AF177">
        <v>0</v>
      </c>
      <c r="AG177">
        <v>0</v>
      </c>
      <c r="AH177">
        <v>0</v>
      </c>
      <c r="AI177">
        <v>0</v>
      </c>
    </row>
    <row r="178" spans="1:35">
      <c r="A178" s="1">
        <f>HYPERLINK("https://lsnyc.legalserver.org/matter/dynamic-profile/view/1890487","19-1890487")</f>
        <v>0</v>
      </c>
      <c r="B178" t="s">
        <v>36</v>
      </c>
      <c r="C178" t="s">
        <v>59</v>
      </c>
      <c r="D178" t="s">
        <v>224</v>
      </c>
      <c r="E178" t="s">
        <v>661</v>
      </c>
      <c r="F178">
        <v>2093</v>
      </c>
      <c r="G178" t="s">
        <v>1129</v>
      </c>
      <c r="H178" t="s">
        <v>1186</v>
      </c>
      <c r="I178" t="s">
        <v>1365</v>
      </c>
      <c r="K178" t="s">
        <v>1436</v>
      </c>
      <c r="L178">
        <v>1</v>
      </c>
      <c r="M178">
        <v>0</v>
      </c>
      <c r="N178">
        <v>1</v>
      </c>
      <c r="O178" t="s">
        <v>1440</v>
      </c>
      <c r="P178">
        <v>30000</v>
      </c>
      <c r="Q178">
        <v>11427</v>
      </c>
      <c r="R178" t="s">
        <v>1446</v>
      </c>
      <c r="S178" t="s">
        <v>1454</v>
      </c>
      <c r="AC178">
        <v>0</v>
      </c>
      <c r="AD178">
        <v>0</v>
      </c>
      <c r="AF178">
        <v>0</v>
      </c>
      <c r="AG178">
        <v>0</v>
      </c>
      <c r="AH178">
        <v>0</v>
      </c>
      <c r="AI178">
        <v>0</v>
      </c>
    </row>
    <row r="179" spans="1:35">
      <c r="A179" s="1">
        <f>HYPERLINK("https://lsnyc.legalserver.org/matter/dynamic-profile/view/1890607","19-1890607")</f>
        <v>0</v>
      </c>
      <c r="B179" t="s">
        <v>36</v>
      </c>
      <c r="C179" t="s">
        <v>59</v>
      </c>
      <c r="D179" t="s">
        <v>225</v>
      </c>
      <c r="E179" t="s">
        <v>662</v>
      </c>
      <c r="F179">
        <v>2093</v>
      </c>
      <c r="G179" t="s">
        <v>1130</v>
      </c>
      <c r="H179" t="s">
        <v>1313</v>
      </c>
      <c r="I179" t="s">
        <v>1349</v>
      </c>
      <c r="K179" t="s">
        <v>1436</v>
      </c>
      <c r="L179">
        <v>2</v>
      </c>
      <c r="M179">
        <v>0</v>
      </c>
      <c r="N179">
        <v>0</v>
      </c>
      <c r="O179" t="s">
        <v>1440</v>
      </c>
      <c r="P179">
        <v>74400</v>
      </c>
      <c r="Q179">
        <v>11422</v>
      </c>
      <c r="R179" t="s">
        <v>1446</v>
      </c>
      <c r="S179" t="s">
        <v>1454</v>
      </c>
      <c r="U179" t="s">
        <v>1472</v>
      </c>
      <c r="V179" t="s">
        <v>1473</v>
      </c>
      <c r="AC179">
        <v>0</v>
      </c>
      <c r="AD179">
        <v>0</v>
      </c>
      <c r="AF179">
        <v>0</v>
      </c>
      <c r="AG179">
        <v>0</v>
      </c>
      <c r="AH179">
        <v>0</v>
      </c>
      <c r="AI179">
        <v>0</v>
      </c>
    </row>
    <row r="180" spans="1:35">
      <c r="A180" s="1">
        <f>HYPERLINK("https://lsnyc.legalserver.org/matter/dynamic-profile/view/1890861","19-1890861")</f>
        <v>0</v>
      </c>
      <c r="B180" t="s">
        <v>36</v>
      </c>
      <c r="C180" t="s">
        <v>49</v>
      </c>
      <c r="D180" t="s">
        <v>226</v>
      </c>
      <c r="E180" t="s">
        <v>663</v>
      </c>
      <c r="F180">
        <v>2093</v>
      </c>
      <c r="G180" t="s">
        <v>1131</v>
      </c>
      <c r="H180" t="s">
        <v>1186</v>
      </c>
      <c r="I180" t="s">
        <v>1383</v>
      </c>
      <c r="K180" t="s">
        <v>1436</v>
      </c>
      <c r="L180">
        <v>1</v>
      </c>
      <c r="M180">
        <v>0</v>
      </c>
      <c r="N180">
        <v>1</v>
      </c>
      <c r="O180" t="s">
        <v>1441</v>
      </c>
      <c r="P180">
        <v>49200</v>
      </c>
      <c r="Q180">
        <v>11434</v>
      </c>
      <c r="R180" t="s">
        <v>1446</v>
      </c>
      <c r="S180" t="s">
        <v>1464</v>
      </c>
      <c r="U180" t="s">
        <v>1472</v>
      </c>
      <c r="V180" t="s">
        <v>1473</v>
      </c>
      <c r="Y180" t="s">
        <v>1502</v>
      </c>
      <c r="AC180">
        <v>0</v>
      </c>
      <c r="AD180">
        <v>0</v>
      </c>
      <c r="AF180">
        <v>0</v>
      </c>
      <c r="AG180">
        <v>0</v>
      </c>
      <c r="AH180">
        <v>0</v>
      </c>
      <c r="AI180">
        <v>0</v>
      </c>
    </row>
    <row r="181" spans="1:35">
      <c r="A181" s="1">
        <f>HYPERLINK("https://lsnyc.legalserver.org/matter/dynamic-profile/view/1890874","19-1890874")</f>
        <v>0</v>
      </c>
      <c r="B181" t="s">
        <v>35</v>
      </c>
      <c r="C181" t="s">
        <v>61</v>
      </c>
      <c r="D181" t="s">
        <v>227</v>
      </c>
      <c r="E181" t="s">
        <v>664</v>
      </c>
      <c r="F181">
        <v>2094</v>
      </c>
      <c r="G181" t="s">
        <v>1131</v>
      </c>
      <c r="H181" t="s">
        <v>1313</v>
      </c>
      <c r="I181" t="s">
        <v>1399</v>
      </c>
      <c r="K181" t="s">
        <v>1436</v>
      </c>
      <c r="L181">
        <v>3</v>
      </c>
      <c r="M181">
        <v>1</v>
      </c>
      <c r="N181">
        <v>1</v>
      </c>
      <c r="O181" t="s">
        <v>1441</v>
      </c>
      <c r="P181">
        <v>89559.60000000001</v>
      </c>
      <c r="Q181">
        <v>10469</v>
      </c>
      <c r="R181" t="s">
        <v>1445</v>
      </c>
      <c r="S181" t="s">
        <v>1454</v>
      </c>
      <c r="U181" t="s">
        <v>1470</v>
      </c>
      <c r="Y181" t="s">
        <v>1498</v>
      </c>
      <c r="AC181">
        <v>0</v>
      </c>
      <c r="AD181">
        <v>0</v>
      </c>
      <c r="AF181">
        <v>0</v>
      </c>
      <c r="AG181">
        <v>0</v>
      </c>
      <c r="AH181">
        <v>0</v>
      </c>
      <c r="AI181">
        <v>0</v>
      </c>
    </row>
    <row r="182" spans="1:35">
      <c r="A182" s="1">
        <f>HYPERLINK("https://lsnyc.legalserver.org/matter/dynamic-profile/view/1890920","19-1890920")</f>
        <v>0</v>
      </c>
      <c r="B182" t="s">
        <v>35</v>
      </c>
      <c r="C182" t="s">
        <v>43</v>
      </c>
      <c r="D182" t="s">
        <v>228</v>
      </c>
      <c r="E182" t="s">
        <v>665</v>
      </c>
      <c r="F182">
        <v>2094</v>
      </c>
      <c r="G182" t="s">
        <v>1131</v>
      </c>
      <c r="H182" t="s">
        <v>989</v>
      </c>
      <c r="I182" t="s">
        <v>1330</v>
      </c>
      <c r="K182" t="s">
        <v>1436</v>
      </c>
      <c r="L182">
        <v>6</v>
      </c>
      <c r="M182">
        <v>0</v>
      </c>
      <c r="N182">
        <v>0</v>
      </c>
      <c r="O182" t="s">
        <v>1440</v>
      </c>
      <c r="P182">
        <v>99851.7</v>
      </c>
      <c r="Q182">
        <v>10463</v>
      </c>
      <c r="R182" t="s">
        <v>1445</v>
      </c>
      <c r="S182" t="s">
        <v>1452</v>
      </c>
      <c r="U182" t="s">
        <v>1472</v>
      </c>
      <c r="Y182" t="s">
        <v>1502</v>
      </c>
      <c r="AC182">
        <v>0</v>
      </c>
      <c r="AD182">
        <v>0</v>
      </c>
      <c r="AF182">
        <v>0</v>
      </c>
      <c r="AG182">
        <v>0</v>
      </c>
      <c r="AH182">
        <v>0</v>
      </c>
      <c r="AI182">
        <v>0</v>
      </c>
    </row>
    <row r="183" spans="1:35">
      <c r="A183" s="1">
        <f>HYPERLINK("https://lsnyc.legalserver.org/matter/dynamic-profile/view/1891927","19-1891927")</f>
        <v>0</v>
      </c>
      <c r="B183" t="s">
        <v>36</v>
      </c>
      <c r="C183" t="s">
        <v>47</v>
      </c>
      <c r="D183" t="s">
        <v>229</v>
      </c>
      <c r="E183" t="s">
        <v>666</v>
      </c>
      <c r="F183">
        <v>2093</v>
      </c>
      <c r="G183" t="s">
        <v>1132</v>
      </c>
      <c r="H183" t="s">
        <v>1176</v>
      </c>
      <c r="K183" t="s">
        <v>1436</v>
      </c>
      <c r="L183">
        <v>2</v>
      </c>
      <c r="M183">
        <v>0</v>
      </c>
      <c r="N183">
        <v>0</v>
      </c>
      <c r="P183">
        <v>22800</v>
      </c>
      <c r="Q183">
        <v>11434</v>
      </c>
      <c r="R183" t="s">
        <v>1446</v>
      </c>
      <c r="S183" t="s">
        <v>1464</v>
      </c>
      <c r="U183" t="s">
        <v>1482</v>
      </c>
      <c r="V183" t="s">
        <v>1474</v>
      </c>
      <c r="Y183" t="s">
        <v>1498</v>
      </c>
      <c r="AA183" t="s">
        <v>1519</v>
      </c>
      <c r="AC183">
        <v>0</v>
      </c>
      <c r="AD183">
        <v>0</v>
      </c>
      <c r="AF183">
        <v>0</v>
      </c>
      <c r="AG183">
        <v>0</v>
      </c>
      <c r="AH183">
        <v>0</v>
      </c>
      <c r="AI183">
        <v>0</v>
      </c>
    </row>
    <row r="184" spans="1:35">
      <c r="A184" s="1">
        <f>HYPERLINK("https://lsnyc.legalserver.org/matter/dynamic-profile/view/1890989","19-1890989")</f>
        <v>0</v>
      </c>
      <c r="B184" t="s">
        <v>37</v>
      </c>
      <c r="C184" t="s">
        <v>54</v>
      </c>
      <c r="D184" t="s">
        <v>230</v>
      </c>
      <c r="E184" t="s">
        <v>667</v>
      </c>
      <c r="F184">
        <v>2091</v>
      </c>
      <c r="G184" t="s">
        <v>1133</v>
      </c>
      <c r="H184" t="s">
        <v>1318</v>
      </c>
      <c r="K184" t="s">
        <v>1436</v>
      </c>
      <c r="L184">
        <v>1</v>
      </c>
      <c r="M184">
        <v>0</v>
      </c>
      <c r="N184">
        <v>0</v>
      </c>
      <c r="P184">
        <v>76200</v>
      </c>
      <c r="Q184">
        <v>11208</v>
      </c>
      <c r="R184" t="s">
        <v>1447</v>
      </c>
      <c r="S184" t="s">
        <v>1463</v>
      </c>
      <c r="T184" t="s">
        <v>1458</v>
      </c>
      <c r="U184" t="s">
        <v>1473</v>
      </c>
      <c r="V184" t="s">
        <v>1471</v>
      </c>
      <c r="AC184">
        <v>0</v>
      </c>
      <c r="AD184">
        <v>0</v>
      </c>
      <c r="AF184">
        <v>0</v>
      </c>
      <c r="AG184">
        <v>0</v>
      </c>
      <c r="AH184">
        <v>0</v>
      </c>
      <c r="AI184">
        <v>0</v>
      </c>
    </row>
    <row r="185" spans="1:35">
      <c r="A185" s="1">
        <f>HYPERLINK("https://lsnyc.legalserver.org/matter/dynamic-profile/view/1891383","19-1891383")</f>
        <v>0</v>
      </c>
      <c r="B185" t="s">
        <v>38</v>
      </c>
      <c r="C185" t="s">
        <v>53</v>
      </c>
      <c r="D185" t="s">
        <v>231</v>
      </c>
      <c r="E185" t="s">
        <v>565</v>
      </c>
      <c r="F185">
        <v>2090</v>
      </c>
      <c r="G185" t="s">
        <v>976</v>
      </c>
      <c r="H185" t="s">
        <v>1188</v>
      </c>
      <c r="I185" t="s">
        <v>1340</v>
      </c>
      <c r="K185" t="s">
        <v>1436</v>
      </c>
      <c r="L185">
        <v>2</v>
      </c>
      <c r="M185">
        <v>2</v>
      </c>
      <c r="N185">
        <v>0</v>
      </c>
      <c r="P185">
        <v>50900</v>
      </c>
      <c r="Q185">
        <v>10304</v>
      </c>
      <c r="R185" t="s">
        <v>1448</v>
      </c>
      <c r="S185" t="s">
        <v>1464</v>
      </c>
      <c r="U185" t="s">
        <v>1470</v>
      </c>
      <c r="Y185" t="s">
        <v>1498</v>
      </c>
      <c r="AC185">
        <v>0</v>
      </c>
      <c r="AD185">
        <v>0</v>
      </c>
      <c r="AF185">
        <v>0</v>
      </c>
      <c r="AG185">
        <v>0</v>
      </c>
      <c r="AH185">
        <v>0</v>
      </c>
      <c r="AI185">
        <v>0</v>
      </c>
    </row>
    <row r="186" spans="1:35">
      <c r="A186" s="1">
        <f>HYPERLINK("https://lsnyc.legalserver.org/matter/dynamic-profile/view/1893789","19-1893789")</f>
        <v>0</v>
      </c>
      <c r="B186" t="s">
        <v>35</v>
      </c>
      <c r="C186" t="s">
        <v>61</v>
      </c>
      <c r="D186" t="s">
        <v>232</v>
      </c>
      <c r="E186" t="s">
        <v>668</v>
      </c>
      <c r="F186">
        <v>2094</v>
      </c>
      <c r="G186" t="s">
        <v>1134</v>
      </c>
      <c r="H186" t="s">
        <v>1318</v>
      </c>
      <c r="K186" t="s">
        <v>1436</v>
      </c>
      <c r="L186">
        <v>3</v>
      </c>
      <c r="M186">
        <v>0</v>
      </c>
      <c r="N186">
        <v>0</v>
      </c>
      <c r="O186" t="s">
        <v>1440</v>
      </c>
      <c r="P186">
        <v>140000</v>
      </c>
      <c r="Q186">
        <v>10030</v>
      </c>
      <c r="R186" t="s">
        <v>1449</v>
      </c>
      <c r="S186" t="s">
        <v>1454</v>
      </c>
      <c r="T186" t="s">
        <v>1453</v>
      </c>
      <c r="U186" t="s">
        <v>1473</v>
      </c>
      <c r="V186" t="s">
        <v>1471</v>
      </c>
      <c r="Y186" t="s">
        <v>1500</v>
      </c>
      <c r="AA186" t="s">
        <v>1506</v>
      </c>
      <c r="AC186">
        <v>0</v>
      </c>
      <c r="AD186">
        <v>0</v>
      </c>
      <c r="AF186">
        <v>0</v>
      </c>
      <c r="AG186">
        <v>0</v>
      </c>
      <c r="AH186">
        <v>0</v>
      </c>
      <c r="AI186">
        <v>0</v>
      </c>
    </row>
    <row r="187" spans="1:35">
      <c r="A187" s="1">
        <f>HYPERLINK("https://lsnyc.legalserver.org/matter/dynamic-profile/view/1894089","19-1894089")</f>
        <v>0</v>
      </c>
      <c r="B187" t="s">
        <v>37</v>
      </c>
      <c r="C187" t="s">
        <v>57</v>
      </c>
      <c r="D187" t="s">
        <v>138</v>
      </c>
      <c r="E187" t="s">
        <v>669</v>
      </c>
      <c r="F187">
        <v>2091</v>
      </c>
      <c r="G187" t="s">
        <v>1135</v>
      </c>
      <c r="H187" t="s">
        <v>1259</v>
      </c>
      <c r="I187" t="s">
        <v>1400</v>
      </c>
      <c r="K187" t="s">
        <v>1436</v>
      </c>
      <c r="L187">
        <v>2</v>
      </c>
      <c r="M187">
        <v>4</v>
      </c>
      <c r="N187">
        <v>1</v>
      </c>
      <c r="O187" t="s">
        <v>1441</v>
      </c>
      <c r="P187">
        <v>65400</v>
      </c>
      <c r="Q187">
        <v>11207</v>
      </c>
      <c r="R187" t="s">
        <v>1447</v>
      </c>
      <c r="S187" t="s">
        <v>1462</v>
      </c>
      <c r="U187" t="s">
        <v>1478</v>
      </c>
      <c r="Y187" t="s">
        <v>1502</v>
      </c>
      <c r="AA187" t="s">
        <v>1498</v>
      </c>
      <c r="AC187">
        <v>0</v>
      </c>
      <c r="AD187">
        <v>0</v>
      </c>
      <c r="AF187">
        <v>0</v>
      </c>
      <c r="AG187">
        <v>0</v>
      </c>
      <c r="AH187">
        <v>0</v>
      </c>
      <c r="AI187">
        <v>0</v>
      </c>
    </row>
    <row r="188" spans="1:35">
      <c r="A188" s="1">
        <f>HYPERLINK("https://lsnyc.legalserver.org/matter/dynamic-profile/view/1894117","19-1894117")</f>
        <v>0</v>
      </c>
      <c r="B188" t="s">
        <v>36</v>
      </c>
      <c r="C188" t="s">
        <v>49</v>
      </c>
      <c r="D188" t="s">
        <v>233</v>
      </c>
      <c r="E188" t="s">
        <v>670</v>
      </c>
      <c r="F188">
        <v>2093</v>
      </c>
      <c r="G188" t="s">
        <v>1135</v>
      </c>
      <c r="H188" t="s">
        <v>1308</v>
      </c>
      <c r="I188" t="s">
        <v>1351</v>
      </c>
      <c r="K188" t="s">
        <v>1436</v>
      </c>
      <c r="L188">
        <v>1</v>
      </c>
      <c r="M188">
        <v>1</v>
      </c>
      <c r="N188">
        <v>0</v>
      </c>
      <c r="O188" t="s">
        <v>1440</v>
      </c>
      <c r="P188">
        <v>104760</v>
      </c>
      <c r="Q188">
        <v>11434</v>
      </c>
      <c r="R188" t="s">
        <v>1446</v>
      </c>
      <c r="S188" t="s">
        <v>1453</v>
      </c>
      <c r="U188" t="s">
        <v>1478</v>
      </c>
      <c r="AC188">
        <v>0</v>
      </c>
      <c r="AD188">
        <v>0</v>
      </c>
      <c r="AF188">
        <v>0</v>
      </c>
      <c r="AG188">
        <v>0</v>
      </c>
      <c r="AH188">
        <v>0</v>
      </c>
      <c r="AI188">
        <v>0</v>
      </c>
    </row>
    <row r="189" spans="1:35">
      <c r="A189" s="1">
        <f>HYPERLINK("https://lsnyc.legalserver.org/matter/dynamic-profile/view/1894696","19-1894696")</f>
        <v>0</v>
      </c>
      <c r="B189" t="s">
        <v>36</v>
      </c>
      <c r="C189" t="s">
        <v>51</v>
      </c>
      <c r="D189" t="s">
        <v>234</v>
      </c>
      <c r="E189" t="s">
        <v>671</v>
      </c>
      <c r="F189">
        <v>2093</v>
      </c>
      <c r="G189" t="s">
        <v>1136</v>
      </c>
      <c r="H189" t="s">
        <v>1308</v>
      </c>
      <c r="I189" t="s">
        <v>1401</v>
      </c>
      <c r="K189" t="s">
        <v>1436</v>
      </c>
      <c r="L189">
        <v>1</v>
      </c>
      <c r="M189">
        <v>0</v>
      </c>
      <c r="N189">
        <v>0</v>
      </c>
      <c r="O189" t="s">
        <v>1440</v>
      </c>
      <c r="P189">
        <v>60000</v>
      </c>
      <c r="Q189">
        <v>11412</v>
      </c>
      <c r="R189" t="s">
        <v>1446</v>
      </c>
      <c r="S189" t="s">
        <v>1468</v>
      </c>
      <c r="U189" t="s">
        <v>1472</v>
      </c>
      <c r="V189" t="s">
        <v>1475</v>
      </c>
      <c r="Y189" t="s">
        <v>1502</v>
      </c>
      <c r="AA189" t="s">
        <v>1498</v>
      </c>
      <c r="AC189">
        <v>0</v>
      </c>
      <c r="AD189">
        <v>0</v>
      </c>
      <c r="AF189">
        <v>0</v>
      </c>
      <c r="AG189">
        <v>0</v>
      </c>
      <c r="AH189">
        <v>0</v>
      </c>
      <c r="AI189">
        <v>0</v>
      </c>
    </row>
    <row r="190" spans="1:35">
      <c r="A190" s="1">
        <f>HYPERLINK("https://lsnyc.legalserver.org/matter/dynamic-profile/view/1894217","19-1894217")</f>
        <v>0</v>
      </c>
      <c r="B190" t="s">
        <v>37</v>
      </c>
      <c r="C190" t="s">
        <v>50</v>
      </c>
      <c r="D190" t="s">
        <v>235</v>
      </c>
      <c r="E190" t="s">
        <v>649</v>
      </c>
      <c r="F190">
        <v>2091</v>
      </c>
      <c r="G190" t="s">
        <v>1137</v>
      </c>
      <c r="H190" t="s">
        <v>1175</v>
      </c>
      <c r="I190" t="s">
        <v>1394</v>
      </c>
      <c r="K190" t="s">
        <v>1436</v>
      </c>
      <c r="L190">
        <v>1</v>
      </c>
      <c r="M190">
        <v>0</v>
      </c>
      <c r="N190">
        <v>1</v>
      </c>
      <c r="O190" t="s">
        <v>1441</v>
      </c>
      <c r="P190">
        <v>52400</v>
      </c>
      <c r="Q190">
        <v>11226</v>
      </c>
      <c r="R190" t="s">
        <v>1447</v>
      </c>
      <c r="S190" t="s">
        <v>1454</v>
      </c>
      <c r="U190" t="s">
        <v>1475</v>
      </c>
      <c r="Y190" t="s">
        <v>1507</v>
      </c>
      <c r="AA190" t="s">
        <v>1498</v>
      </c>
      <c r="AC190">
        <v>0</v>
      </c>
      <c r="AD190">
        <v>0</v>
      </c>
      <c r="AF190">
        <v>0</v>
      </c>
      <c r="AG190">
        <v>0</v>
      </c>
      <c r="AH190">
        <v>0</v>
      </c>
      <c r="AI190">
        <v>0</v>
      </c>
    </row>
    <row r="191" spans="1:35">
      <c r="A191" s="1">
        <f>HYPERLINK("https://lsnyc.legalserver.org/matter/dynamic-profile/view/1895246","19-1895246")</f>
        <v>0</v>
      </c>
      <c r="B191" t="s">
        <v>36</v>
      </c>
      <c r="C191" t="s">
        <v>56</v>
      </c>
      <c r="D191" t="s">
        <v>236</v>
      </c>
      <c r="E191" t="s">
        <v>539</v>
      </c>
      <c r="F191">
        <v>2093</v>
      </c>
      <c r="G191" t="s">
        <v>1138</v>
      </c>
      <c r="H191" t="s">
        <v>982</v>
      </c>
      <c r="I191" t="s">
        <v>1383</v>
      </c>
      <c r="K191" t="s">
        <v>1436</v>
      </c>
      <c r="L191">
        <v>1</v>
      </c>
      <c r="M191">
        <v>0</v>
      </c>
      <c r="N191">
        <v>1</v>
      </c>
      <c r="O191" t="s">
        <v>1442</v>
      </c>
      <c r="P191">
        <v>37776</v>
      </c>
      <c r="Q191">
        <v>11692</v>
      </c>
      <c r="R191" t="s">
        <v>1446</v>
      </c>
      <c r="S191" t="s">
        <v>1461</v>
      </c>
      <c r="U191" t="s">
        <v>1474</v>
      </c>
      <c r="AC191">
        <v>0</v>
      </c>
      <c r="AD191">
        <v>0</v>
      </c>
      <c r="AF191">
        <v>0</v>
      </c>
      <c r="AG191">
        <v>0</v>
      </c>
      <c r="AH191">
        <v>0</v>
      </c>
      <c r="AI191">
        <v>0</v>
      </c>
    </row>
    <row r="192" spans="1:35">
      <c r="A192" s="1">
        <f>HYPERLINK("https://lsnyc.legalserver.org/matter/dynamic-profile/view/1896941","19-1896941")</f>
        <v>0</v>
      </c>
      <c r="B192" t="s">
        <v>36</v>
      </c>
      <c r="C192" t="s">
        <v>51</v>
      </c>
      <c r="D192" t="s">
        <v>237</v>
      </c>
      <c r="E192" t="s">
        <v>612</v>
      </c>
      <c r="F192">
        <v>2093</v>
      </c>
      <c r="G192" t="s">
        <v>1004</v>
      </c>
      <c r="H192" t="s">
        <v>1322</v>
      </c>
      <c r="I192" t="s">
        <v>1353</v>
      </c>
      <c r="K192" t="s">
        <v>1436</v>
      </c>
      <c r="L192">
        <v>3</v>
      </c>
      <c r="M192">
        <v>2</v>
      </c>
      <c r="N192">
        <v>1</v>
      </c>
      <c r="O192" t="s">
        <v>1440</v>
      </c>
      <c r="P192">
        <v>106660.6</v>
      </c>
      <c r="Q192">
        <v>11434</v>
      </c>
      <c r="R192" t="s">
        <v>1446</v>
      </c>
      <c r="S192" t="s">
        <v>1460</v>
      </c>
      <c r="U192" t="s">
        <v>1473</v>
      </c>
      <c r="AC192">
        <v>0</v>
      </c>
      <c r="AD192">
        <v>0</v>
      </c>
      <c r="AF192">
        <v>0</v>
      </c>
      <c r="AG192">
        <v>0</v>
      </c>
      <c r="AH192">
        <v>0</v>
      </c>
      <c r="AI192">
        <v>0</v>
      </c>
    </row>
    <row r="193" spans="1:35">
      <c r="A193" s="1">
        <f>HYPERLINK("https://lsnyc.legalserver.org/matter/dynamic-profile/view/1897553","19-1897553")</f>
        <v>0</v>
      </c>
      <c r="B193" t="s">
        <v>38</v>
      </c>
      <c r="C193" t="s">
        <v>48</v>
      </c>
      <c r="D193" t="s">
        <v>238</v>
      </c>
      <c r="E193" t="s">
        <v>672</v>
      </c>
      <c r="F193">
        <v>2090</v>
      </c>
      <c r="G193" t="s">
        <v>1139</v>
      </c>
      <c r="H193" t="s">
        <v>1311</v>
      </c>
      <c r="K193" t="s">
        <v>1436</v>
      </c>
      <c r="L193">
        <v>4</v>
      </c>
      <c r="M193">
        <v>0</v>
      </c>
      <c r="N193">
        <v>0</v>
      </c>
      <c r="P193">
        <v>75000</v>
      </c>
      <c r="Q193">
        <v>10312</v>
      </c>
      <c r="R193" t="s">
        <v>1448</v>
      </c>
      <c r="S193" t="s">
        <v>1459</v>
      </c>
      <c r="U193" t="s">
        <v>1478</v>
      </c>
      <c r="Y193" t="s">
        <v>1498</v>
      </c>
      <c r="AC193">
        <v>0</v>
      </c>
      <c r="AD193">
        <v>0</v>
      </c>
      <c r="AF193">
        <v>0</v>
      </c>
      <c r="AG193">
        <v>0</v>
      </c>
      <c r="AH193">
        <v>0</v>
      </c>
      <c r="AI193">
        <v>0</v>
      </c>
    </row>
    <row r="194" spans="1:35">
      <c r="A194" s="1">
        <f>HYPERLINK("https://lsnyc.legalserver.org/matter/dynamic-profile/view/1898094","19-1898094")</f>
        <v>0</v>
      </c>
      <c r="B194" t="s">
        <v>36</v>
      </c>
      <c r="C194" t="s">
        <v>51</v>
      </c>
      <c r="D194" t="s">
        <v>239</v>
      </c>
      <c r="E194" t="s">
        <v>673</v>
      </c>
      <c r="F194">
        <v>2093</v>
      </c>
      <c r="G194" t="s">
        <v>1140</v>
      </c>
      <c r="H194" t="s">
        <v>1315</v>
      </c>
      <c r="K194" t="s">
        <v>1436</v>
      </c>
      <c r="L194">
        <v>2</v>
      </c>
      <c r="M194">
        <v>5</v>
      </c>
      <c r="N194">
        <v>1</v>
      </c>
      <c r="P194">
        <v>106000</v>
      </c>
      <c r="Q194">
        <v>11413</v>
      </c>
      <c r="R194" t="s">
        <v>1446</v>
      </c>
      <c r="S194" t="s">
        <v>1452</v>
      </c>
      <c r="U194" t="s">
        <v>1473</v>
      </c>
      <c r="V194" t="s">
        <v>1471</v>
      </c>
      <c r="Y194" t="s">
        <v>1502</v>
      </c>
      <c r="AA194" t="s">
        <v>1498</v>
      </c>
      <c r="AC194">
        <v>0</v>
      </c>
      <c r="AD194">
        <v>0</v>
      </c>
      <c r="AF194">
        <v>0</v>
      </c>
      <c r="AG194">
        <v>0</v>
      </c>
      <c r="AH194">
        <v>0</v>
      </c>
      <c r="AI194">
        <v>0</v>
      </c>
    </row>
    <row r="195" spans="1:35">
      <c r="A195" s="1">
        <f>HYPERLINK("https://lsnyc.legalserver.org/matter/dynamic-profile/view/1897077","19-1897077")</f>
        <v>0</v>
      </c>
      <c r="B195" t="s">
        <v>38</v>
      </c>
      <c r="C195" t="s">
        <v>53</v>
      </c>
      <c r="D195" t="s">
        <v>240</v>
      </c>
      <c r="E195" t="s">
        <v>674</v>
      </c>
      <c r="F195">
        <v>2090</v>
      </c>
      <c r="G195" t="s">
        <v>1141</v>
      </c>
      <c r="H195" t="s">
        <v>1322</v>
      </c>
      <c r="I195" t="s">
        <v>1402</v>
      </c>
      <c r="K195" t="s">
        <v>1436</v>
      </c>
      <c r="L195">
        <v>4</v>
      </c>
      <c r="M195">
        <v>3</v>
      </c>
      <c r="N195">
        <v>0</v>
      </c>
      <c r="O195" t="s">
        <v>1441</v>
      </c>
      <c r="P195">
        <v>172400</v>
      </c>
      <c r="Q195">
        <v>10303</v>
      </c>
      <c r="R195" t="s">
        <v>1448</v>
      </c>
      <c r="S195" t="s">
        <v>1464</v>
      </c>
      <c r="U195" t="s">
        <v>1474</v>
      </c>
      <c r="V195" t="s">
        <v>1482</v>
      </c>
      <c r="Y195" t="s">
        <v>1502</v>
      </c>
      <c r="AA195" t="s">
        <v>1498</v>
      </c>
      <c r="AC195">
        <v>0</v>
      </c>
      <c r="AD195">
        <v>0</v>
      </c>
      <c r="AF195">
        <v>0</v>
      </c>
      <c r="AG195">
        <v>0</v>
      </c>
      <c r="AH195">
        <v>0</v>
      </c>
      <c r="AI195">
        <v>0</v>
      </c>
    </row>
    <row r="196" spans="1:35">
      <c r="A196" s="1">
        <f>HYPERLINK("https://lsnyc.legalserver.org/matter/dynamic-profile/view/1899320","19-1899320")</f>
        <v>0</v>
      </c>
      <c r="B196" t="s">
        <v>35</v>
      </c>
      <c r="C196" t="s">
        <v>41</v>
      </c>
      <c r="D196" t="s">
        <v>199</v>
      </c>
      <c r="E196" t="s">
        <v>675</v>
      </c>
      <c r="F196">
        <v>2094</v>
      </c>
      <c r="G196" t="s">
        <v>1142</v>
      </c>
      <c r="H196" t="s">
        <v>1186</v>
      </c>
      <c r="I196" t="s">
        <v>1403</v>
      </c>
      <c r="K196" t="s">
        <v>1436</v>
      </c>
      <c r="L196">
        <v>1</v>
      </c>
      <c r="M196">
        <v>0</v>
      </c>
      <c r="N196">
        <v>1</v>
      </c>
      <c r="O196" t="s">
        <v>1440</v>
      </c>
      <c r="P196">
        <v>47476</v>
      </c>
      <c r="Q196">
        <v>10469</v>
      </c>
      <c r="R196" t="s">
        <v>1445</v>
      </c>
      <c r="S196" t="s">
        <v>1454</v>
      </c>
      <c r="U196" t="s">
        <v>1478</v>
      </c>
      <c r="V196" t="s">
        <v>1474</v>
      </c>
      <c r="Y196" t="s">
        <v>1515</v>
      </c>
      <c r="AA196" t="s">
        <v>1509</v>
      </c>
      <c r="AC196">
        <v>0</v>
      </c>
      <c r="AD196">
        <v>0</v>
      </c>
      <c r="AF196">
        <v>0</v>
      </c>
      <c r="AG196">
        <v>0</v>
      </c>
      <c r="AH196">
        <v>0</v>
      </c>
      <c r="AI196">
        <v>0</v>
      </c>
    </row>
    <row r="197" spans="1:35">
      <c r="A197" s="1">
        <f>HYPERLINK("https://lsnyc.legalserver.org/matter/dynamic-profile/view/1900170","19-1900170")</f>
        <v>0</v>
      </c>
      <c r="B197" t="s">
        <v>38</v>
      </c>
      <c r="C197" t="s">
        <v>48</v>
      </c>
      <c r="D197" t="s">
        <v>241</v>
      </c>
      <c r="E197" t="s">
        <v>676</v>
      </c>
      <c r="F197">
        <v>2090</v>
      </c>
      <c r="G197" t="s">
        <v>1143</v>
      </c>
      <c r="H197" t="s">
        <v>1186</v>
      </c>
      <c r="I197" t="s">
        <v>1349</v>
      </c>
      <c r="K197" t="s">
        <v>1436</v>
      </c>
      <c r="L197">
        <v>2</v>
      </c>
      <c r="M197">
        <v>3</v>
      </c>
      <c r="N197">
        <v>0</v>
      </c>
      <c r="O197" t="s">
        <v>1440</v>
      </c>
      <c r="P197">
        <v>24000</v>
      </c>
      <c r="Q197">
        <v>10303</v>
      </c>
      <c r="R197" t="s">
        <v>1448</v>
      </c>
      <c r="S197" t="s">
        <v>1454</v>
      </c>
      <c r="T197" t="s">
        <v>1456</v>
      </c>
      <c r="U197" t="s">
        <v>1472</v>
      </c>
      <c r="V197" t="s">
        <v>1471</v>
      </c>
      <c r="Y197" t="s">
        <v>1502</v>
      </c>
      <c r="AC197">
        <v>0</v>
      </c>
      <c r="AD197">
        <v>0</v>
      </c>
      <c r="AF197">
        <v>0</v>
      </c>
      <c r="AG197">
        <v>0</v>
      </c>
      <c r="AH197">
        <v>0</v>
      </c>
      <c r="AI197">
        <v>0</v>
      </c>
    </row>
    <row r="198" spans="1:35">
      <c r="A198" s="1">
        <f>HYPERLINK("https://lsnyc.legalserver.org/matter/dynamic-profile/view/1901064","19-1901064")</f>
        <v>0</v>
      </c>
      <c r="B198" t="s">
        <v>36</v>
      </c>
      <c r="C198" t="s">
        <v>59</v>
      </c>
      <c r="D198" t="s">
        <v>242</v>
      </c>
      <c r="E198" t="s">
        <v>677</v>
      </c>
      <c r="F198">
        <v>2093</v>
      </c>
      <c r="G198" t="s">
        <v>1144</v>
      </c>
      <c r="H198" t="s">
        <v>989</v>
      </c>
      <c r="I198" t="s">
        <v>1383</v>
      </c>
      <c r="K198" t="s">
        <v>1436</v>
      </c>
      <c r="L198">
        <v>1</v>
      </c>
      <c r="M198">
        <v>0</v>
      </c>
      <c r="N198">
        <v>1</v>
      </c>
      <c r="O198" t="s">
        <v>1440</v>
      </c>
      <c r="P198">
        <v>8496</v>
      </c>
      <c r="Q198">
        <v>11434</v>
      </c>
      <c r="R198" t="s">
        <v>1446</v>
      </c>
      <c r="S198" t="s">
        <v>1460</v>
      </c>
      <c r="U198" t="s">
        <v>1470</v>
      </c>
      <c r="AC198">
        <v>0</v>
      </c>
      <c r="AD198">
        <v>0</v>
      </c>
      <c r="AF198">
        <v>0</v>
      </c>
      <c r="AG198">
        <v>0</v>
      </c>
      <c r="AH198">
        <v>0</v>
      </c>
      <c r="AI198">
        <v>0</v>
      </c>
    </row>
    <row r="199" spans="1:35">
      <c r="A199" s="1">
        <f>HYPERLINK("https://lsnyc.legalserver.org/matter/dynamic-profile/view/1901075","19-1901075")</f>
        <v>0</v>
      </c>
      <c r="B199" t="s">
        <v>35</v>
      </c>
      <c r="C199" t="s">
        <v>46</v>
      </c>
      <c r="D199" t="s">
        <v>243</v>
      </c>
      <c r="E199" t="s">
        <v>557</v>
      </c>
      <c r="F199">
        <v>2094</v>
      </c>
      <c r="G199" t="s">
        <v>1009</v>
      </c>
      <c r="H199" t="s">
        <v>1007</v>
      </c>
      <c r="I199" t="s">
        <v>1404</v>
      </c>
      <c r="K199" t="s">
        <v>1436</v>
      </c>
      <c r="L199">
        <v>2</v>
      </c>
      <c r="M199">
        <v>0</v>
      </c>
      <c r="N199">
        <v>1</v>
      </c>
      <c r="O199" t="s">
        <v>1439</v>
      </c>
      <c r="P199">
        <v>15696</v>
      </c>
      <c r="Q199">
        <v>10462</v>
      </c>
      <c r="R199" t="s">
        <v>1445</v>
      </c>
      <c r="S199" t="s">
        <v>1452</v>
      </c>
      <c r="U199" t="s">
        <v>1475</v>
      </c>
      <c r="Y199" t="s">
        <v>1498</v>
      </c>
      <c r="AC199">
        <v>0</v>
      </c>
      <c r="AD199">
        <v>0</v>
      </c>
      <c r="AF199">
        <v>0</v>
      </c>
      <c r="AG199">
        <v>0</v>
      </c>
      <c r="AH199">
        <v>0</v>
      </c>
      <c r="AI199">
        <v>0</v>
      </c>
    </row>
    <row r="200" spans="1:35">
      <c r="A200" s="1">
        <f>HYPERLINK("https://lsnyc.legalserver.org/matter/dynamic-profile/view/1901138","19-1901138")</f>
        <v>0</v>
      </c>
      <c r="B200" t="s">
        <v>35</v>
      </c>
      <c r="C200" t="s">
        <v>46</v>
      </c>
      <c r="D200" t="s">
        <v>244</v>
      </c>
      <c r="E200" t="s">
        <v>678</v>
      </c>
      <c r="F200">
        <v>2094</v>
      </c>
      <c r="G200" t="s">
        <v>1009</v>
      </c>
      <c r="H200" t="s">
        <v>1321</v>
      </c>
      <c r="I200" t="s">
        <v>1350</v>
      </c>
      <c r="K200" t="s">
        <v>1436</v>
      </c>
      <c r="L200">
        <v>2</v>
      </c>
      <c r="M200">
        <v>0</v>
      </c>
      <c r="N200">
        <v>0</v>
      </c>
      <c r="O200" t="s">
        <v>1441</v>
      </c>
      <c r="P200">
        <v>135200</v>
      </c>
      <c r="Q200">
        <v>10466</v>
      </c>
      <c r="R200" t="s">
        <v>1445</v>
      </c>
      <c r="S200" t="s">
        <v>1463</v>
      </c>
      <c r="T200" t="s">
        <v>1468</v>
      </c>
      <c r="U200" t="s">
        <v>1473</v>
      </c>
      <c r="V200" t="s">
        <v>1471</v>
      </c>
      <c r="Y200" t="s">
        <v>1498</v>
      </c>
      <c r="AA200" t="s">
        <v>1502</v>
      </c>
      <c r="AC200">
        <v>0</v>
      </c>
      <c r="AD200">
        <v>0</v>
      </c>
      <c r="AF200">
        <v>0</v>
      </c>
      <c r="AG200">
        <v>0</v>
      </c>
      <c r="AH200">
        <v>0</v>
      </c>
      <c r="AI200">
        <v>0</v>
      </c>
    </row>
    <row r="201" spans="1:35">
      <c r="A201" s="1">
        <f>HYPERLINK("https://lsnyc.legalserver.org/matter/dynamic-profile/view/1901644","19-1901644")</f>
        <v>0</v>
      </c>
      <c r="B201" t="s">
        <v>36</v>
      </c>
      <c r="C201" t="s">
        <v>59</v>
      </c>
      <c r="D201" t="s">
        <v>245</v>
      </c>
      <c r="E201" t="s">
        <v>650</v>
      </c>
      <c r="F201">
        <v>2093</v>
      </c>
      <c r="G201" t="s">
        <v>1145</v>
      </c>
      <c r="H201" t="s">
        <v>1315</v>
      </c>
      <c r="I201" t="s">
        <v>1351</v>
      </c>
      <c r="K201" t="s">
        <v>1436</v>
      </c>
      <c r="L201">
        <v>2</v>
      </c>
      <c r="M201">
        <v>1</v>
      </c>
      <c r="N201">
        <v>1</v>
      </c>
      <c r="O201" t="s">
        <v>1440</v>
      </c>
      <c r="P201">
        <v>64644</v>
      </c>
      <c r="Q201">
        <v>11691</v>
      </c>
      <c r="R201" t="s">
        <v>1446</v>
      </c>
      <c r="S201" t="s">
        <v>1453</v>
      </c>
      <c r="U201" t="s">
        <v>1472</v>
      </c>
      <c r="V201" t="s">
        <v>1470</v>
      </c>
      <c r="AC201">
        <v>0</v>
      </c>
      <c r="AD201">
        <v>0</v>
      </c>
      <c r="AF201">
        <v>0</v>
      </c>
      <c r="AG201">
        <v>0</v>
      </c>
      <c r="AH201">
        <v>0</v>
      </c>
      <c r="AI201">
        <v>0</v>
      </c>
    </row>
    <row r="202" spans="1:35">
      <c r="A202" s="1">
        <f>HYPERLINK("https://lsnyc.legalserver.org/matter/dynamic-profile/view/1900882","19-1900882")</f>
        <v>0</v>
      </c>
      <c r="B202" t="s">
        <v>37</v>
      </c>
      <c r="C202" t="s">
        <v>42</v>
      </c>
      <c r="D202" t="s">
        <v>246</v>
      </c>
      <c r="E202" t="s">
        <v>679</v>
      </c>
      <c r="F202">
        <v>2091</v>
      </c>
      <c r="G202" t="s">
        <v>1146</v>
      </c>
      <c r="H202" t="s">
        <v>1317</v>
      </c>
      <c r="I202" t="s">
        <v>1348</v>
      </c>
      <c r="K202" t="s">
        <v>1436</v>
      </c>
      <c r="L202">
        <v>2</v>
      </c>
      <c r="M202">
        <v>0</v>
      </c>
      <c r="N202">
        <v>0</v>
      </c>
      <c r="O202" t="s">
        <v>1441</v>
      </c>
      <c r="P202">
        <v>66600</v>
      </c>
      <c r="Q202">
        <v>11236</v>
      </c>
      <c r="R202" t="s">
        <v>1447</v>
      </c>
      <c r="S202" t="s">
        <v>1463</v>
      </c>
      <c r="T202" t="s">
        <v>1453</v>
      </c>
      <c r="U202" t="s">
        <v>1475</v>
      </c>
      <c r="V202" t="s">
        <v>1471</v>
      </c>
      <c r="W202" t="s">
        <v>1496</v>
      </c>
      <c r="Y202" t="s">
        <v>1498</v>
      </c>
      <c r="AC202">
        <v>0</v>
      </c>
      <c r="AD202">
        <v>0</v>
      </c>
      <c r="AF202">
        <v>0</v>
      </c>
      <c r="AG202">
        <v>0</v>
      </c>
      <c r="AH202">
        <v>0</v>
      </c>
      <c r="AI202">
        <v>0</v>
      </c>
    </row>
    <row r="203" spans="1:35">
      <c r="A203" s="1">
        <f>HYPERLINK("https://lsnyc.legalserver.org/matter/dynamic-profile/view/1902341","19-1902341")</f>
        <v>0</v>
      </c>
      <c r="B203" t="s">
        <v>35</v>
      </c>
      <c r="C203" t="s">
        <v>61</v>
      </c>
      <c r="D203" t="s">
        <v>159</v>
      </c>
      <c r="E203" t="s">
        <v>441</v>
      </c>
      <c r="F203">
        <v>2094</v>
      </c>
      <c r="G203" t="s">
        <v>1147</v>
      </c>
      <c r="H203" t="s">
        <v>1318</v>
      </c>
      <c r="I203" t="s">
        <v>1342</v>
      </c>
      <c r="K203" t="s">
        <v>1436</v>
      </c>
      <c r="L203">
        <v>1</v>
      </c>
      <c r="M203">
        <v>2</v>
      </c>
      <c r="N203">
        <v>0</v>
      </c>
      <c r="O203" t="s">
        <v>1439</v>
      </c>
      <c r="P203">
        <v>50000</v>
      </c>
      <c r="Q203">
        <v>10462</v>
      </c>
      <c r="R203" t="s">
        <v>1445</v>
      </c>
      <c r="S203" t="s">
        <v>1456</v>
      </c>
      <c r="T203" t="s">
        <v>1452</v>
      </c>
      <c r="U203" t="s">
        <v>1472</v>
      </c>
      <c r="V203" t="s">
        <v>1470</v>
      </c>
      <c r="Y203" t="s">
        <v>1502</v>
      </c>
      <c r="AA203" t="s">
        <v>1498</v>
      </c>
      <c r="AC203">
        <v>0</v>
      </c>
      <c r="AD203">
        <v>0</v>
      </c>
      <c r="AF203">
        <v>0</v>
      </c>
      <c r="AG203">
        <v>0</v>
      </c>
      <c r="AH203">
        <v>0</v>
      </c>
      <c r="AI203">
        <v>0</v>
      </c>
    </row>
    <row r="204" spans="1:35">
      <c r="A204" s="1">
        <f>HYPERLINK("https://lsnyc.legalserver.org/matter/dynamic-profile/view/1902752","19-1902752")</f>
        <v>0</v>
      </c>
      <c r="B204" t="s">
        <v>35</v>
      </c>
      <c r="C204" t="s">
        <v>39</v>
      </c>
      <c r="D204" t="s">
        <v>247</v>
      </c>
      <c r="E204" t="s">
        <v>680</v>
      </c>
      <c r="F204">
        <v>2094</v>
      </c>
      <c r="G204" t="s">
        <v>1148</v>
      </c>
      <c r="H204" t="s">
        <v>1321</v>
      </c>
      <c r="I204" t="s">
        <v>1405</v>
      </c>
      <c r="K204" t="s">
        <v>1436</v>
      </c>
      <c r="L204">
        <v>1</v>
      </c>
      <c r="M204">
        <v>0</v>
      </c>
      <c r="N204">
        <v>0</v>
      </c>
      <c r="O204" t="s">
        <v>1440</v>
      </c>
      <c r="P204">
        <v>65000</v>
      </c>
      <c r="Q204">
        <v>10469</v>
      </c>
      <c r="R204" t="s">
        <v>1445</v>
      </c>
      <c r="S204" t="s">
        <v>1453</v>
      </c>
      <c r="U204" t="s">
        <v>1482</v>
      </c>
      <c r="Y204" t="s">
        <v>1514</v>
      </c>
      <c r="AC204">
        <v>0</v>
      </c>
      <c r="AD204">
        <v>0</v>
      </c>
      <c r="AF204">
        <v>0</v>
      </c>
      <c r="AG204">
        <v>0</v>
      </c>
      <c r="AH204">
        <v>0</v>
      </c>
      <c r="AI204">
        <v>0</v>
      </c>
    </row>
    <row r="205" spans="1:35">
      <c r="A205" s="1">
        <f>HYPERLINK("https://lsnyc.legalserver.org/matter/dynamic-profile/view/1902799","19-1902799")</f>
        <v>0</v>
      </c>
      <c r="B205" t="s">
        <v>36</v>
      </c>
      <c r="C205" t="s">
        <v>59</v>
      </c>
      <c r="D205" t="s">
        <v>248</v>
      </c>
      <c r="E205" t="s">
        <v>681</v>
      </c>
      <c r="F205">
        <v>2093</v>
      </c>
      <c r="G205" t="s">
        <v>1148</v>
      </c>
      <c r="H205" t="s">
        <v>1313</v>
      </c>
      <c r="I205" t="s">
        <v>1369</v>
      </c>
      <c r="J205" t="s">
        <v>1369</v>
      </c>
      <c r="K205" t="s">
        <v>1436</v>
      </c>
      <c r="L205">
        <v>2</v>
      </c>
      <c r="M205">
        <v>0</v>
      </c>
      <c r="N205">
        <v>0</v>
      </c>
      <c r="O205" t="s">
        <v>1440</v>
      </c>
      <c r="P205">
        <v>26000</v>
      </c>
      <c r="Q205">
        <v>11411</v>
      </c>
      <c r="R205" t="s">
        <v>1446</v>
      </c>
      <c r="S205" t="s">
        <v>1454</v>
      </c>
      <c r="U205" t="s">
        <v>1472</v>
      </c>
      <c r="AC205">
        <v>0</v>
      </c>
      <c r="AD205">
        <v>0</v>
      </c>
      <c r="AF205">
        <v>0</v>
      </c>
      <c r="AG205">
        <v>0</v>
      </c>
      <c r="AH205">
        <v>0</v>
      </c>
      <c r="AI205">
        <v>0</v>
      </c>
    </row>
    <row r="206" spans="1:35">
      <c r="A206" s="1">
        <f>HYPERLINK("https://lsnyc.legalserver.org/matter/dynamic-profile/view/1902874","19-1902874")</f>
        <v>0</v>
      </c>
      <c r="B206" t="s">
        <v>35</v>
      </c>
      <c r="C206" t="s">
        <v>39</v>
      </c>
      <c r="D206" t="s">
        <v>125</v>
      </c>
      <c r="E206" t="s">
        <v>573</v>
      </c>
      <c r="F206">
        <v>2094</v>
      </c>
      <c r="G206" t="s">
        <v>1016</v>
      </c>
      <c r="H206" t="s">
        <v>1196</v>
      </c>
      <c r="I206" t="s">
        <v>1329</v>
      </c>
      <c r="K206" t="s">
        <v>1436</v>
      </c>
      <c r="L206">
        <v>2</v>
      </c>
      <c r="M206">
        <v>0</v>
      </c>
      <c r="N206">
        <v>1</v>
      </c>
      <c r="O206" t="s">
        <v>1440</v>
      </c>
      <c r="P206">
        <v>52800</v>
      </c>
      <c r="Q206">
        <v>10475</v>
      </c>
      <c r="R206" t="s">
        <v>1445</v>
      </c>
      <c r="S206" t="s">
        <v>1465</v>
      </c>
      <c r="U206" t="s">
        <v>1470</v>
      </c>
      <c r="Y206" t="s">
        <v>1498</v>
      </c>
      <c r="AC206">
        <v>0</v>
      </c>
      <c r="AD206">
        <v>0</v>
      </c>
      <c r="AF206">
        <v>0</v>
      </c>
      <c r="AG206">
        <v>0</v>
      </c>
      <c r="AH206">
        <v>0</v>
      </c>
      <c r="AI206">
        <v>0</v>
      </c>
    </row>
    <row r="207" spans="1:35">
      <c r="A207" s="1">
        <f>HYPERLINK("https://lsnyc.legalserver.org/matter/dynamic-profile/view/1902889","19-1902889")</f>
        <v>0</v>
      </c>
      <c r="B207" t="s">
        <v>35</v>
      </c>
      <c r="C207" t="s">
        <v>39</v>
      </c>
      <c r="D207" t="s">
        <v>249</v>
      </c>
      <c r="E207" t="s">
        <v>682</v>
      </c>
      <c r="F207">
        <v>2094</v>
      </c>
      <c r="G207" t="s">
        <v>1016</v>
      </c>
      <c r="H207" t="s">
        <v>1252</v>
      </c>
      <c r="I207" t="s">
        <v>1363</v>
      </c>
      <c r="K207" t="s">
        <v>1436</v>
      </c>
      <c r="L207">
        <v>4</v>
      </c>
      <c r="M207">
        <v>0</v>
      </c>
      <c r="N207">
        <v>0</v>
      </c>
      <c r="O207" t="s">
        <v>1440</v>
      </c>
      <c r="P207">
        <v>123600</v>
      </c>
      <c r="Q207">
        <v>10469</v>
      </c>
      <c r="R207" t="s">
        <v>1445</v>
      </c>
      <c r="S207" t="s">
        <v>1454</v>
      </c>
      <c r="T207" t="s">
        <v>1452</v>
      </c>
      <c r="U207" t="s">
        <v>1475</v>
      </c>
      <c r="Y207" t="s">
        <v>1498</v>
      </c>
      <c r="AC207">
        <v>0</v>
      </c>
      <c r="AD207">
        <v>0</v>
      </c>
      <c r="AF207">
        <v>0</v>
      </c>
      <c r="AG207">
        <v>0</v>
      </c>
      <c r="AH207">
        <v>0</v>
      </c>
      <c r="AI207">
        <v>0</v>
      </c>
    </row>
    <row r="208" spans="1:35">
      <c r="A208" s="1">
        <f>HYPERLINK("https://lsnyc.legalserver.org/matter/dynamic-profile/view/1903026","19-1903026")</f>
        <v>0</v>
      </c>
      <c r="B208" t="s">
        <v>36</v>
      </c>
      <c r="C208" t="s">
        <v>49</v>
      </c>
      <c r="D208" t="s">
        <v>250</v>
      </c>
      <c r="E208" t="s">
        <v>683</v>
      </c>
      <c r="F208">
        <v>2093</v>
      </c>
      <c r="G208" t="s">
        <v>1149</v>
      </c>
      <c r="H208" t="s">
        <v>990</v>
      </c>
      <c r="I208" t="s">
        <v>1338</v>
      </c>
      <c r="K208" t="s">
        <v>1436</v>
      </c>
      <c r="L208">
        <v>1</v>
      </c>
      <c r="M208">
        <v>0</v>
      </c>
      <c r="N208">
        <v>1</v>
      </c>
      <c r="O208" t="s">
        <v>1441</v>
      </c>
      <c r="P208">
        <v>38508</v>
      </c>
      <c r="Q208">
        <v>11434</v>
      </c>
      <c r="R208" t="s">
        <v>1446</v>
      </c>
      <c r="S208" t="s">
        <v>1452</v>
      </c>
      <c r="T208" t="s">
        <v>1454</v>
      </c>
      <c r="U208" t="s">
        <v>1470</v>
      </c>
      <c r="AC208">
        <v>0</v>
      </c>
      <c r="AD208">
        <v>0</v>
      </c>
      <c r="AF208">
        <v>0</v>
      </c>
      <c r="AG208">
        <v>0</v>
      </c>
      <c r="AH208">
        <v>0</v>
      </c>
      <c r="AI208">
        <v>0</v>
      </c>
    </row>
    <row r="209" spans="1:35">
      <c r="A209" s="1">
        <f>HYPERLINK("https://lsnyc.legalserver.org/matter/dynamic-profile/view/1902922","19-1902922")</f>
        <v>0</v>
      </c>
      <c r="B209" t="s">
        <v>37</v>
      </c>
      <c r="C209" t="s">
        <v>57</v>
      </c>
      <c r="D209" t="s">
        <v>251</v>
      </c>
      <c r="E209" t="s">
        <v>684</v>
      </c>
      <c r="F209">
        <v>2091</v>
      </c>
      <c r="G209" t="s">
        <v>1150</v>
      </c>
      <c r="H209" t="s">
        <v>1313</v>
      </c>
      <c r="I209" t="s">
        <v>1336</v>
      </c>
      <c r="K209" t="s">
        <v>1436</v>
      </c>
      <c r="L209">
        <v>2</v>
      </c>
      <c r="M209">
        <v>4</v>
      </c>
      <c r="N209">
        <v>0</v>
      </c>
      <c r="O209" t="s">
        <v>1441</v>
      </c>
      <c r="P209">
        <v>127200</v>
      </c>
      <c r="Q209">
        <v>11233</v>
      </c>
      <c r="R209" t="s">
        <v>1447</v>
      </c>
      <c r="S209" t="s">
        <v>1460</v>
      </c>
      <c r="U209" t="s">
        <v>1472</v>
      </c>
      <c r="V209" t="s">
        <v>1475</v>
      </c>
      <c r="Y209" t="s">
        <v>1502</v>
      </c>
      <c r="AA209" t="s">
        <v>1498</v>
      </c>
      <c r="AC209">
        <v>0</v>
      </c>
      <c r="AD209">
        <v>0</v>
      </c>
      <c r="AF209">
        <v>0</v>
      </c>
      <c r="AG209">
        <v>0</v>
      </c>
      <c r="AH209">
        <v>0</v>
      </c>
      <c r="AI209">
        <v>0</v>
      </c>
    </row>
    <row r="210" spans="1:35">
      <c r="A210" s="1">
        <f>HYPERLINK("https://lsnyc.legalserver.org/matter/dynamic-profile/view/1903526","19-1903526")</f>
        <v>0</v>
      </c>
      <c r="B210" t="s">
        <v>35</v>
      </c>
      <c r="C210" t="s">
        <v>39</v>
      </c>
      <c r="D210" t="s">
        <v>252</v>
      </c>
      <c r="E210" t="s">
        <v>659</v>
      </c>
      <c r="F210">
        <v>2094</v>
      </c>
      <c r="G210" t="s">
        <v>1150</v>
      </c>
      <c r="H210" t="s">
        <v>1252</v>
      </c>
      <c r="I210" t="s">
        <v>1371</v>
      </c>
      <c r="K210" t="s">
        <v>1436</v>
      </c>
      <c r="L210">
        <v>1</v>
      </c>
      <c r="M210">
        <v>2</v>
      </c>
      <c r="N210">
        <v>0</v>
      </c>
      <c r="O210" t="s">
        <v>1439</v>
      </c>
      <c r="P210">
        <v>115000</v>
      </c>
      <c r="Q210">
        <v>10473</v>
      </c>
      <c r="R210" t="s">
        <v>1445</v>
      </c>
      <c r="S210" t="s">
        <v>1454</v>
      </c>
      <c r="U210" t="s">
        <v>1475</v>
      </c>
      <c r="Y210" t="s">
        <v>1498</v>
      </c>
      <c r="AC210">
        <v>0</v>
      </c>
      <c r="AD210">
        <v>0</v>
      </c>
      <c r="AF210">
        <v>0</v>
      </c>
      <c r="AG210">
        <v>0</v>
      </c>
      <c r="AH210">
        <v>0</v>
      </c>
      <c r="AI210">
        <v>0</v>
      </c>
    </row>
    <row r="211" spans="1:35">
      <c r="A211" s="1">
        <f>HYPERLINK("https://lsnyc.legalserver.org/matter/dynamic-profile/view/1904339","19-1904339")</f>
        <v>0</v>
      </c>
      <c r="B211" t="s">
        <v>37</v>
      </c>
      <c r="C211" t="s">
        <v>41</v>
      </c>
      <c r="D211" t="s">
        <v>253</v>
      </c>
      <c r="E211" t="s">
        <v>625</v>
      </c>
      <c r="F211">
        <v>2091</v>
      </c>
      <c r="G211" t="s">
        <v>1151</v>
      </c>
      <c r="H211" t="s">
        <v>1184</v>
      </c>
      <c r="I211" t="s">
        <v>1353</v>
      </c>
      <c r="K211" t="s">
        <v>1436</v>
      </c>
      <c r="L211">
        <v>3</v>
      </c>
      <c r="M211">
        <v>2</v>
      </c>
      <c r="N211">
        <v>0</v>
      </c>
      <c r="O211" t="s">
        <v>1441</v>
      </c>
      <c r="P211">
        <v>84720.58</v>
      </c>
      <c r="Q211">
        <v>11236</v>
      </c>
      <c r="R211" t="s">
        <v>1447</v>
      </c>
      <c r="S211" t="s">
        <v>1459</v>
      </c>
      <c r="U211" t="s">
        <v>1478</v>
      </c>
      <c r="AC211">
        <v>0</v>
      </c>
      <c r="AD211">
        <v>0</v>
      </c>
      <c r="AF211">
        <v>0</v>
      </c>
      <c r="AG211">
        <v>0</v>
      </c>
      <c r="AH211">
        <v>0</v>
      </c>
      <c r="AI211">
        <v>0</v>
      </c>
    </row>
    <row r="212" spans="1:35">
      <c r="A212" s="1">
        <f>HYPERLINK("https://lsnyc.legalserver.org/matter/dynamic-profile/view/1903758","19-1903758")</f>
        <v>0</v>
      </c>
      <c r="B212" t="s">
        <v>36</v>
      </c>
      <c r="C212" t="s">
        <v>59</v>
      </c>
      <c r="D212" t="s">
        <v>254</v>
      </c>
      <c r="E212" t="s">
        <v>545</v>
      </c>
      <c r="F212">
        <v>2093</v>
      </c>
      <c r="G212" t="s">
        <v>1152</v>
      </c>
      <c r="H212" t="s">
        <v>1315</v>
      </c>
      <c r="I212" t="s">
        <v>1358</v>
      </c>
      <c r="K212" t="s">
        <v>1436</v>
      </c>
      <c r="L212">
        <v>4</v>
      </c>
      <c r="M212">
        <v>1</v>
      </c>
      <c r="N212">
        <v>1</v>
      </c>
      <c r="O212" t="s">
        <v>1441</v>
      </c>
      <c r="P212">
        <v>14400</v>
      </c>
      <c r="Q212">
        <v>11412</v>
      </c>
      <c r="R212" t="s">
        <v>1446</v>
      </c>
      <c r="S212" t="s">
        <v>1454</v>
      </c>
      <c r="U212" t="s">
        <v>1473</v>
      </c>
      <c r="AC212">
        <v>0</v>
      </c>
      <c r="AD212">
        <v>0</v>
      </c>
      <c r="AF212">
        <v>0</v>
      </c>
      <c r="AG212">
        <v>0</v>
      </c>
      <c r="AH212">
        <v>0</v>
      </c>
      <c r="AI212">
        <v>0</v>
      </c>
    </row>
    <row r="213" spans="1:35">
      <c r="A213" s="1">
        <f>HYPERLINK("https://lsnyc.legalserver.org/matter/dynamic-profile/view/1904492","19-1904492")</f>
        <v>0</v>
      </c>
      <c r="B213" t="s">
        <v>35</v>
      </c>
      <c r="C213" t="s">
        <v>61</v>
      </c>
      <c r="D213" t="s">
        <v>255</v>
      </c>
      <c r="E213" t="s">
        <v>670</v>
      </c>
      <c r="F213">
        <v>2094</v>
      </c>
      <c r="G213" t="s">
        <v>981</v>
      </c>
      <c r="H213" t="s">
        <v>1313</v>
      </c>
      <c r="I213" t="s">
        <v>1376</v>
      </c>
      <c r="K213" t="s">
        <v>1436</v>
      </c>
      <c r="L213">
        <v>1</v>
      </c>
      <c r="M213">
        <v>0</v>
      </c>
      <c r="N213">
        <v>1</v>
      </c>
      <c r="O213" t="s">
        <v>1442</v>
      </c>
      <c r="P213">
        <v>110772</v>
      </c>
      <c r="Q213">
        <v>10467</v>
      </c>
      <c r="R213" t="s">
        <v>1445</v>
      </c>
      <c r="S213" t="s">
        <v>1452</v>
      </c>
      <c r="U213" t="s">
        <v>1472</v>
      </c>
      <c r="V213" t="s">
        <v>1470</v>
      </c>
      <c r="Y213" t="s">
        <v>1502</v>
      </c>
      <c r="AA213" t="s">
        <v>1498</v>
      </c>
      <c r="AC213">
        <v>0</v>
      </c>
      <c r="AD213">
        <v>0</v>
      </c>
      <c r="AF213">
        <v>0</v>
      </c>
      <c r="AG213">
        <v>0</v>
      </c>
      <c r="AH213">
        <v>0</v>
      </c>
      <c r="AI213">
        <v>0</v>
      </c>
    </row>
    <row r="214" spans="1:35">
      <c r="A214" s="1">
        <f>HYPERLINK("https://lsnyc.legalserver.org/matter/dynamic-profile/view/1904503","19-1904503")</f>
        <v>0</v>
      </c>
      <c r="B214" t="s">
        <v>36</v>
      </c>
      <c r="C214" t="s">
        <v>40</v>
      </c>
      <c r="D214" t="s">
        <v>256</v>
      </c>
      <c r="E214" t="s">
        <v>685</v>
      </c>
      <c r="F214">
        <v>2093</v>
      </c>
      <c r="G214" t="s">
        <v>981</v>
      </c>
      <c r="H214" t="s">
        <v>1184</v>
      </c>
      <c r="I214" t="s">
        <v>1342</v>
      </c>
      <c r="K214" t="s">
        <v>1436</v>
      </c>
      <c r="L214">
        <v>3</v>
      </c>
      <c r="M214">
        <v>0</v>
      </c>
      <c r="N214">
        <v>1</v>
      </c>
      <c r="O214" t="s">
        <v>1440</v>
      </c>
      <c r="P214">
        <v>70000</v>
      </c>
      <c r="Q214">
        <v>11368</v>
      </c>
      <c r="R214" t="s">
        <v>1446</v>
      </c>
      <c r="S214" t="s">
        <v>1463</v>
      </c>
      <c r="U214" t="s">
        <v>1470</v>
      </c>
      <c r="AC214">
        <v>0</v>
      </c>
      <c r="AD214">
        <v>0</v>
      </c>
      <c r="AF214">
        <v>0</v>
      </c>
      <c r="AG214">
        <v>0</v>
      </c>
      <c r="AH214">
        <v>0</v>
      </c>
      <c r="AI214">
        <v>0</v>
      </c>
    </row>
    <row r="215" spans="1:35">
      <c r="A215" s="1">
        <f>HYPERLINK("https://lsnyc.legalserver.org/matter/dynamic-profile/view/1904529","19-1904529")</f>
        <v>0</v>
      </c>
      <c r="B215" t="s">
        <v>35</v>
      </c>
      <c r="C215" t="s">
        <v>43</v>
      </c>
      <c r="D215" t="s">
        <v>257</v>
      </c>
      <c r="E215" t="s">
        <v>686</v>
      </c>
      <c r="F215">
        <v>2094</v>
      </c>
      <c r="G215" t="s">
        <v>981</v>
      </c>
      <c r="H215" t="s">
        <v>989</v>
      </c>
      <c r="I215" t="s">
        <v>1344</v>
      </c>
      <c r="K215" t="s">
        <v>1436</v>
      </c>
      <c r="L215">
        <v>1</v>
      </c>
      <c r="M215">
        <v>0</v>
      </c>
      <c r="N215">
        <v>0</v>
      </c>
      <c r="O215" t="s">
        <v>1441</v>
      </c>
      <c r="P215">
        <v>100400</v>
      </c>
      <c r="Q215">
        <v>10466</v>
      </c>
      <c r="R215" t="s">
        <v>1445</v>
      </c>
      <c r="S215" t="s">
        <v>1463</v>
      </c>
      <c r="U215" t="s">
        <v>1472</v>
      </c>
      <c r="V215" t="s">
        <v>1473</v>
      </c>
      <c r="Y215" t="s">
        <v>1502</v>
      </c>
      <c r="AA215" t="s">
        <v>1498</v>
      </c>
      <c r="AC215">
        <v>0</v>
      </c>
      <c r="AD215">
        <v>0</v>
      </c>
      <c r="AF215">
        <v>0</v>
      </c>
      <c r="AG215">
        <v>0</v>
      </c>
      <c r="AH215">
        <v>0</v>
      </c>
      <c r="AI215">
        <v>0</v>
      </c>
    </row>
    <row r="216" spans="1:35">
      <c r="A216" s="1">
        <f>HYPERLINK("https://lsnyc.legalserver.org/matter/dynamic-profile/view/1904650","19-1904650")</f>
        <v>0</v>
      </c>
      <c r="B216" t="s">
        <v>37</v>
      </c>
      <c r="C216" t="s">
        <v>42</v>
      </c>
      <c r="D216" t="s">
        <v>258</v>
      </c>
      <c r="E216" t="s">
        <v>687</v>
      </c>
      <c r="F216">
        <v>2091</v>
      </c>
      <c r="G216" t="s">
        <v>1153</v>
      </c>
      <c r="H216" t="s">
        <v>1318</v>
      </c>
      <c r="I216" t="s">
        <v>1397</v>
      </c>
      <c r="K216" t="s">
        <v>1436</v>
      </c>
      <c r="L216">
        <v>3</v>
      </c>
      <c r="M216">
        <v>0</v>
      </c>
      <c r="N216">
        <v>0</v>
      </c>
      <c r="P216">
        <v>125947.54</v>
      </c>
      <c r="Q216">
        <v>11208</v>
      </c>
      <c r="R216" t="s">
        <v>1447</v>
      </c>
      <c r="S216" t="s">
        <v>1454</v>
      </c>
      <c r="U216" t="s">
        <v>1473</v>
      </c>
      <c r="V216" t="s">
        <v>1471</v>
      </c>
      <c r="W216" t="s">
        <v>1497</v>
      </c>
      <c r="Y216" t="s">
        <v>1502</v>
      </c>
      <c r="AC216">
        <v>0</v>
      </c>
      <c r="AD216">
        <v>0</v>
      </c>
      <c r="AF216">
        <v>0</v>
      </c>
      <c r="AG216">
        <v>0</v>
      </c>
      <c r="AH216">
        <v>0</v>
      </c>
      <c r="AI216">
        <v>0</v>
      </c>
    </row>
    <row r="217" spans="1:35">
      <c r="A217" s="1">
        <f>HYPERLINK("https://lsnyc.legalserver.org/matter/dynamic-profile/view/1905079","19-1905079")</f>
        <v>0</v>
      </c>
      <c r="B217" t="s">
        <v>36</v>
      </c>
      <c r="C217" t="s">
        <v>55</v>
      </c>
      <c r="D217" t="s">
        <v>71</v>
      </c>
      <c r="E217" t="s">
        <v>688</v>
      </c>
      <c r="F217">
        <v>2093</v>
      </c>
      <c r="G217" t="s">
        <v>997</v>
      </c>
      <c r="H217" t="s">
        <v>1322</v>
      </c>
      <c r="I217" t="s">
        <v>1363</v>
      </c>
      <c r="K217" t="s">
        <v>1436</v>
      </c>
      <c r="L217">
        <v>3</v>
      </c>
      <c r="M217">
        <v>0</v>
      </c>
      <c r="N217">
        <v>0</v>
      </c>
      <c r="O217" t="s">
        <v>1440</v>
      </c>
      <c r="P217">
        <v>6500</v>
      </c>
      <c r="Q217">
        <v>11691</v>
      </c>
      <c r="R217" t="s">
        <v>1446</v>
      </c>
      <c r="S217" t="s">
        <v>1459</v>
      </c>
      <c r="U217" t="s">
        <v>1473</v>
      </c>
      <c r="AC217">
        <v>0</v>
      </c>
      <c r="AD217">
        <v>0</v>
      </c>
      <c r="AF217">
        <v>0</v>
      </c>
      <c r="AG217">
        <v>0</v>
      </c>
      <c r="AH217">
        <v>0</v>
      </c>
      <c r="AI217">
        <v>0</v>
      </c>
    </row>
    <row r="218" spans="1:35">
      <c r="A218" s="1">
        <f>HYPERLINK("https://lsnyc.legalserver.org/matter/dynamic-profile/view/1905216","19-1905216")</f>
        <v>0</v>
      </c>
      <c r="B218" t="s">
        <v>35</v>
      </c>
      <c r="C218" t="s">
        <v>46</v>
      </c>
      <c r="D218" t="s">
        <v>259</v>
      </c>
      <c r="E218" t="s">
        <v>689</v>
      </c>
      <c r="F218">
        <v>2094</v>
      </c>
      <c r="G218" t="s">
        <v>1020</v>
      </c>
      <c r="H218" t="s">
        <v>1316</v>
      </c>
      <c r="I218" t="s">
        <v>1342</v>
      </c>
      <c r="K218" t="s">
        <v>1436</v>
      </c>
      <c r="L218">
        <v>1</v>
      </c>
      <c r="M218">
        <v>1</v>
      </c>
      <c r="N218">
        <v>0</v>
      </c>
      <c r="O218" t="s">
        <v>1439</v>
      </c>
      <c r="P218">
        <v>29120</v>
      </c>
      <c r="Q218">
        <v>10473</v>
      </c>
      <c r="R218" t="s">
        <v>1445</v>
      </c>
      <c r="S218" t="s">
        <v>1452</v>
      </c>
      <c r="T218" t="s">
        <v>1454</v>
      </c>
      <c r="U218" t="s">
        <v>1470</v>
      </c>
      <c r="V218" t="s">
        <v>1473</v>
      </c>
      <c r="Y218" t="s">
        <v>1498</v>
      </c>
      <c r="AC218">
        <v>0</v>
      </c>
      <c r="AD218">
        <v>0</v>
      </c>
      <c r="AF218">
        <v>0</v>
      </c>
      <c r="AG218">
        <v>0</v>
      </c>
      <c r="AH218">
        <v>0</v>
      </c>
      <c r="AI218">
        <v>0</v>
      </c>
    </row>
    <row r="219" spans="1:35">
      <c r="A219" s="1">
        <f>HYPERLINK("https://lsnyc.legalserver.org/matter/dynamic-profile/view/1905223","19-1905223")</f>
        <v>0</v>
      </c>
      <c r="B219" t="s">
        <v>35</v>
      </c>
      <c r="C219" t="s">
        <v>43</v>
      </c>
      <c r="D219" t="s">
        <v>260</v>
      </c>
      <c r="E219" t="s">
        <v>690</v>
      </c>
      <c r="F219">
        <v>2094</v>
      </c>
      <c r="G219" t="s">
        <v>1020</v>
      </c>
      <c r="H219" t="s">
        <v>1187</v>
      </c>
      <c r="I219" t="s">
        <v>1342</v>
      </c>
      <c r="J219" t="s">
        <v>1335</v>
      </c>
      <c r="K219" t="s">
        <v>1436</v>
      </c>
      <c r="L219">
        <v>3</v>
      </c>
      <c r="M219">
        <v>0</v>
      </c>
      <c r="N219">
        <v>0</v>
      </c>
      <c r="O219" t="s">
        <v>1441</v>
      </c>
      <c r="P219">
        <v>62100</v>
      </c>
      <c r="Q219">
        <v>10469</v>
      </c>
      <c r="R219" t="s">
        <v>1445</v>
      </c>
      <c r="S219" t="s">
        <v>1453</v>
      </c>
      <c r="T219" t="s">
        <v>1452</v>
      </c>
      <c r="U219" t="s">
        <v>1472</v>
      </c>
      <c r="V219" t="s">
        <v>1470</v>
      </c>
      <c r="Y219" t="s">
        <v>1502</v>
      </c>
      <c r="AA219" t="s">
        <v>1498</v>
      </c>
      <c r="AC219">
        <v>0</v>
      </c>
      <c r="AD219">
        <v>0</v>
      </c>
      <c r="AF219">
        <v>0</v>
      </c>
      <c r="AG219">
        <v>0</v>
      </c>
      <c r="AH219">
        <v>0</v>
      </c>
      <c r="AI219">
        <v>0</v>
      </c>
    </row>
    <row r="220" spans="1:35">
      <c r="A220" s="1">
        <f>HYPERLINK("https://lsnyc.legalserver.org/matter/dynamic-profile/view/1905828","19-1905828")</f>
        <v>0</v>
      </c>
      <c r="B220" t="s">
        <v>35</v>
      </c>
      <c r="C220" t="s">
        <v>61</v>
      </c>
      <c r="D220" t="s">
        <v>145</v>
      </c>
      <c r="E220" t="s">
        <v>691</v>
      </c>
      <c r="F220">
        <v>2094</v>
      </c>
      <c r="G220" t="s">
        <v>1154</v>
      </c>
      <c r="H220" t="s">
        <v>1318</v>
      </c>
      <c r="I220" t="s">
        <v>1329</v>
      </c>
      <c r="K220" t="s">
        <v>1436</v>
      </c>
      <c r="L220">
        <v>1</v>
      </c>
      <c r="M220">
        <v>0</v>
      </c>
      <c r="N220">
        <v>0</v>
      </c>
      <c r="O220" t="s">
        <v>1441</v>
      </c>
      <c r="P220">
        <v>41289.6</v>
      </c>
      <c r="Q220">
        <v>10469</v>
      </c>
      <c r="R220" t="s">
        <v>1445</v>
      </c>
      <c r="S220" t="s">
        <v>1464</v>
      </c>
      <c r="U220" t="s">
        <v>1472</v>
      </c>
      <c r="V220" t="s">
        <v>1470</v>
      </c>
      <c r="Y220" t="s">
        <v>1502</v>
      </c>
      <c r="AA220" t="s">
        <v>1498</v>
      </c>
      <c r="AC220">
        <v>0</v>
      </c>
      <c r="AD220">
        <v>0</v>
      </c>
      <c r="AF220">
        <v>0</v>
      </c>
      <c r="AG220">
        <v>0</v>
      </c>
      <c r="AH220">
        <v>0</v>
      </c>
      <c r="AI220">
        <v>0</v>
      </c>
    </row>
    <row r="221" spans="1:35">
      <c r="A221" s="1">
        <f>HYPERLINK("https://lsnyc.legalserver.org/matter/dynamic-profile/view/1905841","19-1905841")</f>
        <v>0</v>
      </c>
      <c r="B221" t="s">
        <v>35</v>
      </c>
      <c r="C221" t="s">
        <v>61</v>
      </c>
      <c r="D221" t="s">
        <v>261</v>
      </c>
      <c r="E221" t="s">
        <v>692</v>
      </c>
      <c r="F221">
        <v>2094</v>
      </c>
      <c r="G221" t="s">
        <v>1154</v>
      </c>
      <c r="H221" t="s">
        <v>1322</v>
      </c>
      <c r="I221" t="s">
        <v>1371</v>
      </c>
      <c r="K221" t="s">
        <v>1436</v>
      </c>
      <c r="L221">
        <v>1</v>
      </c>
      <c r="M221">
        <v>0</v>
      </c>
      <c r="N221">
        <v>1</v>
      </c>
      <c r="O221" t="s">
        <v>1440</v>
      </c>
      <c r="P221">
        <v>41760</v>
      </c>
      <c r="Q221">
        <v>10466</v>
      </c>
      <c r="R221" t="s">
        <v>1445</v>
      </c>
      <c r="S221" t="s">
        <v>1460</v>
      </c>
      <c r="AC221">
        <v>0</v>
      </c>
      <c r="AD221">
        <v>0</v>
      </c>
      <c r="AF221">
        <v>0</v>
      </c>
      <c r="AG221">
        <v>0</v>
      </c>
      <c r="AH221">
        <v>0</v>
      </c>
      <c r="AI221">
        <v>0</v>
      </c>
    </row>
    <row r="222" spans="1:35">
      <c r="A222" s="1">
        <f>HYPERLINK("https://lsnyc.legalserver.org/matter/dynamic-profile/view/1905870","19-1905870")</f>
        <v>0</v>
      </c>
      <c r="B222" t="s">
        <v>35</v>
      </c>
      <c r="C222" t="s">
        <v>43</v>
      </c>
      <c r="D222" t="s">
        <v>165</v>
      </c>
      <c r="E222" t="s">
        <v>693</v>
      </c>
      <c r="F222">
        <v>2094</v>
      </c>
      <c r="G222" t="s">
        <v>1154</v>
      </c>
      <c r="H222" t="s">
        <v>1322</v>
      </c>
      <c r="I222" t="s">
        <v>1363</v>
      </c>
      <c r="K222" t="s">
        <v>1436</v>
      </c>
      <c r="L222">
        <v>6</v>
      </c>
      <c r="M222">
        <v>0</v>
      </c>
      <c r="N222">
        <v>0</v>
      </c>
      <c r="O222" t="s">
        <v>1441</v>
      </c>
      <c r="P222">
        <v>78000</v>
      </c>
      <c r="Q222">
        <v>10469</v>
      </c>
      <c r="R222" t="s">
        <v>1445</v>
      </c>
      <c r="S222" t="s">
        <v>1463</v>
      </c>
      <c r="U222" t="s">
        <v>1472</v>
      </c>
      <c r="W222" t="s">
        <v>1491</v>
      </c>
      <c r="Y222" t="s">
        <v>1502</v>
      </c>
      <c r="AC222">
        <v>3296</v>
      </c>
      <c r="AD222">
        <v>0</v>
      </c>
      <c r="AF222">
        <v>0</v>
      </c>
      <c r="AG222">
        <v>0</v>
      </c>
      <c r="AH222">
        <v>0</v>
      </c>
      <c r="AI222">
        <v>0</v>
      </c>
    </row>
    <row r="223" spans="1:35">
      <c r="A223" s="1">
        <f>HYPERLINK("https://lsnyc.legalserver.org/matter/dynamic-profile/view/1906233","19-1906233")</f>
        <v>0</v>
      </c>
      <c r="B223" t="s">
        <v>36</v>
      </c>
      <c r="C223" t="s">
        <v>47</v>
      </c>
      <c r="D223" t="s">
        <v>262</v>
      </c>
      <c r="E223" t="s">
        <v>694</v>
      </c>
      <c r="F223">
        <v>2093</v>
      </c>
      <c r="G223" t="s">
        <v>1155</v>
      </c>
      <c r="H223" t="s">
        <v>1317</v>
      </c>
      <c r="I223" t="s">
        <v>1340</v>
      </c>
      <c r="K223" t="s">
        <v>1436</v>
      </c>
      <c r="L223">
        <v>1</v>
      </c>
      <c r="M223">
        <v>2</v>
      </c>
      <c r="N223">
        <v>1</v>
      </c>
      <c r="O223" t="s">
        <v>1440</v>
      </c>
      <c r="P223">
        <v>19860</v>
      </c>
      <c r="Q223">
        <v>11429</v>
      </c>
      <c r="R223" t="s">
        <v>1446</v>
      </c>
      <c r="S223" t="s">
        <v>1456</v>
      </c>
      <c r="U223" t="s">
        <v>1475</v>
      </c>
      <c r="AC223">
        <v>0</v>
      </c>
      <c r="AD223">
        <v>0</v>
      </c>
      <c r="AF223">
        <v>0</v>
      </c>
      <c r="AG223">
        <v>0</v>
      </c>
      <c r="AH223">
        <v>0</v>
      </c>
      <c r="AI223">
        <v>0</v>
      </c>
    </row>
    <row r="224" spans="1:35">
      <c r="A224" s="1">
        <f>HYPERLINK("https://lsnyc.legalserver.org/matter/dynamic-profile/view/1906383","19-1906383")</f>
        <v>0</v>
      </c>
      <c r="B224" t="s">
        <v>35</v>
      </c>
      <c r="C224" t="s">
        <v>39</v>
      </c>
      <c r="D224" t="s">
        <v>263</v>
      </c>
      <c r="E224" t="s">
        <v>695</v>
      </c>
      <c r="F224">
        <v>2094</v>
      </c>
      <c r="G224" t="s">
        <v>1156</v>
      </c>
      <c r="H224" t="s">
        <v>1259</v>
      </c>
      <c r="I224" t="s">
        <v>1329</v>
      </c>
      <c r="K224" t="s">
        <v>1436</v>
      </c>
      <c r="L224">
        <v>1</v>
      </c>
      <c r="M224">
        <v>0</v>
      </c>
      <c r="N224">
        <v>1</v>
      </c>
      <c r="O224" t="s">
        <v>1440</v>
      </c>
      <c r="P224">
        <v>16800</v>
      </c>
      <c r="Q224">
        <v>10456</v>
      </c>
      <c r="R224" t="s">
        <v>1445</v>
      </c>
      <c r="S224" t="s">
        <v>1464</v>
      </c>
      <c r="U224" t="s">
        <v>1483</v>
      </c>
      <c r="V224" t="s">
        <v>1474</v>
      </c>
      <c r="Y224" t="s">
        <v>1513</v>
      </c>
      <c r="AA224" t="s">
        <v>1514</v>
      </c>
      <c r="AC224">
        <v>0</v>
      </c>
      <c r="AD224">
        <v>0</v>
      </c>
      <c r="AF224">
        <v>0</v>
      </c>
      <c r="AG224">
        <v>0</v>
      </c>
      <c r="AH224">
        <v>0</v>
      </c>
      <c r="AI224">
        <v>0</v>
      </c>
    </row>
    <row r="225" spans="1:35">
      <c r="A225" s="1">
        <f>HYPERLINK("https://lsnyc.legalserver.org/matter/dynamic-profile/view/1906413","19-1906413")</f>
        <v>0</v>
      </c>
      <c r="B225" t="s">
        <v>35</v>
      </c>
      <c r="C225" t="s">
        <v>39</v>
      </c>
      <c r="D225" t="s">
        <v>264</v>
      </c>
      <c r="E225" t="s">
        <v>649</v>
      </c>
      <c r="F225">
        <v>2094</v>
      </c>
      <c r="G225" t="s">
        <v>1156</v>
      </c>
      <c r="H225" t="s">
        <v>1007</v>
      </c>
      <c r="K225" t="s">
        <v>1436</v>
      </c>
      <c r="L225">
        <v>2</v>
      </c>
      <c r="M225">
        <v>0</v>
      </c>
      <c r="N225">
        <v>2</v>
      </c>
      <c r="O225" t="s">
        <v>1440</v>
      </c>
      <c r="P225">
        <v>34400</v>
      </c>
      <c r="Q225">
        <v>10466</v>
      </c>
      <c r="R225" t="s">
        <v>1445</v>
      </c>
      <c r="S225" t="s">
        <v>1452</v>
      </c>
      <c r="T225" t="s">
        <v>1463</v>
      </c>
      <c r="U225" t="s">
        <v>1474</v>
      </c>
      <c r="V225" t="s">
        <v>1470</v>
      </c>
      <c r="Y225" t="s">
        <v>1498</v>
      </c>
      <c r="AC225">
        <v>0</v>
      </c>
      <c r="AD225">
        <v>0</v>
      </c>
      <c r="AF225">
        <v>0</v>
      </c>
      <c r="AG225">
        <v>0</v>
      </c>
      <c r="AH225">
        <v>0</v>
      </c>
      <c r="AI225">
        <v>0</v>
      </c>
    </row>
    <row r="226" spans="1:35">
      <c r="A226" s="1">
        <f>HYPERLINK("https://lsnyc.legalserver.org/matter/dynamic-profile/view/1906641","19-1906641")</f>
        <v>0</v>
      </c>
      <c r="B226" t="s">
        <v>36</v>
      </c>
      <c r="C226" t="s">
        <v>55</v>
      </c>
      <c r="D226" t="s">
        <v>128</v>
      </c>
      <c r="E226" t="s">
        <v>696</v>
      </c>
      <c r="F226">
        <v>2093</v>
      </c>
      <c r="G226" t="s">
        <v>1157</v>
      </c>
      <c r="H226" t="s">
        <v>989</v>
      </c>
      <c r="I226" t="s">
        <v>1406</v>
      </c>
      <c r="K226" t="s">
        <v>1436</v>
      </c>
      <c r="L226">
        <v>1</v>
      </c>
      <c r="M226">
        <v>0</v>
      </c>
      <c r="N226">
        <v>0</v>
      </c>
      <c r="O226" t="s">
        <v>1441</v>
      </c>
      <c r="P226">
        <v>24000</v>
      </c>
      <c r="Q226">
        <v>11434</v>
      </c>
      <c r="R226" t="s">
        <v>1446</v>
      </c>
      <c r="S226" t="s">
        <v>1456</v>
      </c>
      <c r="U226" t="s">
        <v>1472</v>
      </c>
      <c r="AC226">
        <v>0</v>
      </c>
      <c r="AD226">
        <v>0</v>
      </c>
      <c r="AF226">
        <v>0</v>
      </c>
      <c r="AG226">
        <v>0</v>
      </c>
      <c r="AH226">
        <v>0</v>
      </c>
      <c r="AI226">
        <v>0</v>
      </c>
    </row>
    <row r="227" spans="1:35">
      <c r="A227" s="1">
        <f>HYPERLINK("https://lsnyc.legalserver.org/matter/dynamic-profile/view/1906935","19-1906935")</f>
        <v>0</v>
      </c>
      <c r="B227" t="s">
        <v>35</v>
      </c>
      <c r="C227" t="s">
        <v>43</v>
      </c>
      <c r="D227" t="s">
        <v>265</v>
      </c>
      <c r="E227" t="s">
        <v>697</v>
      </c>
      <c r="F227">
        <v>2094</v>
      </c>
      <c r="G227" t="s">
        <v>1000</v>
      </c>
      <c r="H227" t="s">
        <v>1187</v>
      </c>
      <c r="I227" t="s">
        <v>1345</v>
      </c>
      <c r="K227" t="s">
        <v>1436</v>
      </c>
      <c r="L227">
        <v>3</v>
      </c>
      <c r="M227">
        <v>0</v>
      </c>
      <c r="N227">
        <v>0</v>
      </c>
      <c r="O227" t="s">
        <v>1441</v>
      </c>
      <c r="P227">
        <v>104000</v>
      </c>
      <c r="Q227">
        <v>10469</v>
      </c>
      <c r="R227" t="s">
        <v>1445</v>
      </c>
      <c r="S227" t="s">
        <v>1453</v>
      </c>
      <c r="T227" t="s">
        <v>1454</v>
      </c>
      <c r="U227" t="s">
        <v>1472</v>
      </c>
      <c r="V227" t="s">
        <v>1470</v>
      </c>
      <c r="W227" t="s">
        <v>1490</v>
      </c>
      <c r="Y227" t="s">
        <v>1502</v>
      </c>
      <c r="AA227" t="s">
        <v>1498</v>
      </c>
      <c r="AC227">
        <v>2111</v>
      </c>
      <c r="AD227">
        <v>0</v>
      </c>
      <c r="AF227">
        <v>0</v>
      </c>
      <c r="AG227">
        <v>0</v>
      </c>
      <c r="AH227">
        <v>0</v>
      </c>
      <c r="AI227">
        <v>0</v>
      </c>
    </row>
    <row r="228" spans="1:35">
      <c r="A228" s="1">
        <f>HYPERLINK("https://lsnyc.legalserver.org/matter/dynamic-profile/view/1906990","19-1906990")</f>
        <v>0</v>
      </c>
      <c r="B228" t="s">
        <v>36</v>
      </c>
      <c r="C228" t="s">
        <v>40</v>
      </c>
      <c r="D228" t="s">
        <v>211</v>
      </c>
      <c r="E228" t="s">
        <v>698</v>
      </c>
      <c r="F228">
        <v>2093</v>
      </c>
      <c r="G228" t="s">
        <v>1000</v>
      </c>
      <c r="H228" t="s">
        <v>1184</v>
      </c>
      <c r="I228" t="s">
        <v>1344</v>
      </c>
      <c r="K228" t="s">
        <v>1436</v>
      </c>
      <c r="L228">
        <v>2</v>
      </c>
      <c r="M228">
        <v>0</v>
      </c>
      <c r="N228">
        <v>0</v>
      </c>
      <c r="O228" t="s">
        <v>1441</v>
      </c>
      <c r="P228">
        <v>74620.2</v>
      </c>
      <c r="Q228">
        <v>11433</v>
      </c>
      <c r="R228" t="s">
        <v>1446</v>
      </c>
      <c r="S228" t="s">
        <v>1456</v>
      </c>
      <c r="U228" t="s">
        <v>1472</v>
      </c>
      <c r="Y228" t="s">
        <v>1502</v>
      </c>
      <c r="AC228">
        <v>0</v>
      </c>
      <c r="AD228">
        <v>0</v>
      </c>
      <c r="AF228">
        <v>0</v>
      </c>
      <c r="AG228">
        <v>0</v>
      </c>
      <c r="AH228">
        <v>0</v>
      </c>
      <c r="AI228">
        <v>0</v>
      </c>
    </row>
    <row r="229" spans="1:35">
      <c r="A229" s="1">
        <f>HYPERLINK("https://lsnyc.legalserver.org/matter/dynamic-profile/view/1906991","19-1906991")</f>
        <v>0</v>
      </c>
      <c r="B229" t="s">
        <v>36</v>
      </c>
      <c r="C229" t="s">
        <v>51</v>
      </c>
      <c r="D229" t="s">
        <v>266</v>
      </c>
      <c r="E229" t="s">
        <v>612</v>
      </c>
      <c r="F229">
        <v>2093</v>
      </c>
      <c r="G229" t="s">
        <v>1000</v>
      </c>
      <c r="H229" t="s">
        <v>989</v>
      </c>
      <c r="I229" t="s">
        <v>774</v>
      </c>
      <c r="K229" t="s">
        <v>1436</v>
      </c>
      <c r="L229">
        <v>2</v>
      </c>
      <c r="M229">
        <v>0</v>
      </c>
      <c r="N229">
        <v>1</v>
      </c>
      <c r="P229">
        <v>34800</v>
      </c>
      <c r="Q229">
        <v>11434</v>
      </c>
      <c r="R229" t="s">
        <v>1446</v>
      </c>
      <c r="S229" t="s">
        <v>1464</v>
      </c>
      <c r="U229" t="s">
        <v>1473</v>
      </c>
      <c r="AC229">
        <v>0</v>
      </c>
      <c r="AD229">
        <v>0</v>
      </c>
      <c r="AF229">
        <v>0</v>
      </c>
      <c r="AG229">
        <v>0</v>
      </c>
      <c r="AH229">
        <v>0</v>
      </c>
      <c r="AI229">
        <v>0</v>
      </c>
    </row>
    <row r="230" spans="1:35">
      <c r="A230" s="1">
        <f>HYPERLINK("https://lsnyc.legalserver.org/matter/dynamic-profile/view/1907037","19-1907037")</f>
        <v>0</v>
      </c>
      <c r="B230" t="s">
        <v>36</v>
      </c>
      <c r="C230" t="s">
        <v>60</v>
      </c>
      <c r="D230" t="s">
        <v>267</v>
      </c>
      <c r="E230" t="s">
        <v>699</v>
      </c>
      <c r="F230">
        <v>2093</v>
      </c>
      <c r="G230" t="s">
        <v>1000</v>
      </c>
      <c r="H230" t="s">
        <v>1311</v>
      </c>
      <c r="I230" t="s">
        <v>1350</v>
      </c>
      <c r="K230" t="s">
        <v>1436</v>
      </c>
      <c r="L230">
        <v>5</v>
      </c>
      <c r="M230">
        <v>0</v>
      </c>
      <c r="N230">
        <v>1</v>
      </c>
      <c r="O230" t="s">
        <v>1440</v>
      </c>
      <c r="P230">
        <v>50892</v>
      </c>
      <c r="Q230">
        <v>11420</v>
      </c>
      <c r="R230" t="s">
        <v>1446</v>
      </c>
      <c r="S230" t="s">
        <v>1460</v>
      </c>
      <c r="U230" t="s">
        <v>1470</v>
      </c>
      <c r="AC230">
        <v>0</v>
      </c>
      <c r="AD230">
        <v>0</v>
      </c>
      <c r="AF230">
        <v>0</v>
      </c>
      <c r="AG230">
        <v>0</v>
      </c>
      <c r="AH230">
        <v>0</v>
      </c>
      <c r="AI230">
        <v>0</v>
      </c>
    </row>
    <row r="231" spans="1:35">
      <c r="A231" s="1">
        <f>HYPERLINK("https://lsnyc.legalserver.org/matter/dynamic-profile/view/1907564","19-1907564")</f>
        <v>0</v>
      </c>
      <c r="B231" t="s">
        <v>36</v>
      </c>
      <c r="C231" t="s">
        <v>55</v>
      </c>
      <c r="D231" t="s">
        <v>268</v>
      </c>
      <c r="E231" t="s">
        <v>685</v>
      </c>
      <c r="F231">
        <v>2093</v>
      </c>
      <c r="G231" t="s">
        <v>1158</v>
      </c>
      <c r="H231" t="s">
        <v>989</v>
      </c>
      <c r="I231" t="s">
        <v>1338</v>
      </c>
      <c r="K231" t="s">
        <v>1436</v>
      </c>
      <c r="L231">
        <v>1</v>
      </c>
      <c r="M231">
        <v>2</v>
      </c>
      <c r="N231">
        <v>0</v>
      </c>
      <c r="O231" t="s">
        <v>1440</v>
      </c>
      <c r="P231">
        <v>18804</v>
      </c>
      <c r="Q231">
        <v>11412</v>
      </c>
      <c r="R231" t="s">
        <v>1446</v>
      </c>
      <c r="S231" t="s">
        <v>1452</v>
      </c>
      <c r="T231" t="s">
        <v>1453</v>
      </c>
      <c r="U231" t="s">
        <v>1473</v>
      </c>
      <c r="V231" t="s">
        <v>1472</v>
      </c>
      <c r="AC231">
        <v>0</v>
      </c>
      <c r="AD231">
        <v>0</v>
      </c>
      <c r="AF231">
        <v>0</v>
      </c>
      <c r="AG231">
        <v>0</v>
      </c>
      <c r="AH231">
        <v>0</v>
      </c>
      <c r="AI231">
        <v>0</v>
      </c>
    </row>
    <row r="232" spans="1:35">
      <c r="A232" s="1">
        <f>HYPERLINK("https://lsnyc.legalserver.org/matter/dynamic-profile/view/1907988","19-1907988")</f>
        <v>0</v>
      </c>
      <c r="B232" t="s">
        <v>35</v>
      </c>
      <c r="C232" t="s">
        <v>39</v>
      </c>
      <c r="D232" t="s">
        <v>269</v>
      </c>
      <c r="E232" t="s">
        <v>700</v>
      </c>
      <c r="F232">
        <v>2094</v>
      </c>
      <c r="G232" t="s">
        <v>992</v>
      </c>
      <c r="H232" t="s">
        <v>1188</v>
      </c>
      <c r="K232" t="s">
        <v>1436</v>
      </c>
      <c r="L232">
        <v>1</v>
      </c>
      <c r="M232">
        <v>1</v>
      </c>
      <c r="N232">
        <v>0</v>
      </c>
      <c r="O232" t="s">
        <v>1441</v>
      </c>
      <c r="P232">
        <v>85356</v>
      </c>
      <c r="Q232">
        <v>10458</v>
      </c>
      <c r="R232" t="s">
        <v>1445</v>
      </c>
      <c r="S232" t="s">
        <v>1453</v>
      </c>
      <c r="U232" t="s">
        <v>1470</v>
      </c>
      <c r="Y232" t="s">
        <v>1498</v>
      </c>
      <c r="AC232">
        <v>0</v>
      </c>
      <c r="AD232">
        <v>0</v>
      </c>
      <c r="AF232">
        <v>0</v>
      </c>
      <c r="AG232">
        <v>0</v>
      </c>
      <c r="AH232">
        <v>0</v>
      </c>
      <c r="AI232">
        <v>0</v>
      </c>
    </row>
    <row r="233" spans="1:35">
      <c r="A233" s="1">
        <f>HYPERLINK("https://lsnyc.legalserver.org/matter/dynamic-profile/view/1906972","19-1906972")</f>
        <v>0</v>
      </c>
      <c r="B233" t="s">
        <v>37</v>
      </c>
      <c r="C233" t="s">
        <v>50</v>
      </c>
      <c r="D233" t="s">
        <v>270</v>
      </c>
      <c r="E233" t="s">
        <v>701</v>
      </c>
      <c r="F233">
        <v>2091</v>
      </c>
      <c r="G233" t="s">
        <v>1159</v>
      </c>
      <c r="H233" t="s">
        <v>1317</v>
      </c>
      <c r="K233" t="s">
        <v>1436</v>
      </c>
      <c r="L233">
        <v>1</v>
      </c>
      <c r="M233">
        <v>0</v>
      </c>
      <c r="N233">
        <v>0</v>
      </c>
      <c r="P233">
        <v>29604</v>
      </c>
      <c r="Q233">
        <v>11221</v>
      </c>
      <c r="R233" t="s">
        <v>1447</v>
      </c>
      <c r="S233" t="s">
        <v>1466</v>
      </c>
      <c r="U233" t="s">
        <v>1475</v>
      </c>
      <c r="Y233" t="s">
        <v>1507</v>
      </c>
      <c r="AA233" t="s">
        <v>1498</v>
      </c>
      <c r="AC233">
        <v>0</v>
      </c>
      <c r="AD233">
        <v>0</v>
      </c>
      <c r="AF233">
        <v>0</v>
      </c>
      <c r="AG233">
        <v>0</v>
      </c>
      <c r="AH233">
        <v>0</v>
      </c>
      <c r="AI233">
        <v>0</v>
      </c>
    </row>
    <row r="234" spans="1:35">
      <c r="A234" s="1">
        <f>HYPERLINK("https://lsnyc.legalserver.org/matter/dynamic-profile/view/1907875","19-1907875")</f>
        <v>0</v>
      </c>
      <c r="B234" t="s">
        <v>37</v>
      </c>
      <c r="C234" t="s">
        <v>54</v>
      </c>
      <c r="D234" t="s">
        <v>271</v>
      </c>
      <c r="E234" t="s">
        <v>685</v>
      </c>
      <c r="F234">
        <v>2091</v>
      </c>
      <c r="G234" t="s">
        <v>1159</v>
      </c>
      <c r="H234" t="s">
        <v>1259</v>
      </c>
      <c r="I234" t="s">
        <v>1348</v>
      </c>
      <c r="K234" t="s">
        <v>1436</v>
      </c>
      <c r="L234">
        <v>2</v>
      </c>
      <c r="M234">
        <v>0</v>
      </c>
      <c r="N234">
        <v>0</v>
      </c>
      <c r="P234">
        <v>84700</v>
      </c>
      <c r="Q234">
        <v>11226</v>
      </c>
      <c r="R234" t="s">
        <v>1447</v>
      </c>
      <c r="S234" t="s">
        <v>1454</v>
      </c>
      <c r="U234" t="s">
        <v>1475</v>
      </c>
      <c r="AC234">
        <v>0</v>
      </c>
      <c r="AD234">
        <v>0</v>
      </c>
      <c r="AF234">
        <v>0</v>
      </c>
      <c r="AG234">
        <v>0</v>
      </c>
      <c r="AH234">
        <v>0</v>
      </c>
      <c r="AI234">
        <v>0</v>
      </c>
    </row>
    <row r="235" spans="1:35">
      <c r="A235" s="1">
        <f>HYPERLINK("https://lsnyc.legalserver.org/matter/dynamic-profile/view/1908288","19-1908288")</f>
        <v>0</v>
      </c>
      <c r="B235" t="s">
        <v>36</v>
      </c>
      <c r="C235" t="s">
        <v>49</v>
      </c>
      <c r="D235" t="s">
        <v>272</v>
      </c>
      <c r="E235" t="s">
        <v>128</v>
      </c>
      <c r="F235">
        <v>2093</v>
      </c>
      <c r="G235" t="s">
        <v>1160</v>
      </c>
      <c r="H235" t="s">
        <v>1176</v>
      </c>
      <c r="I235" t="s">
        <v>1338</v>
      </c>
      <c r="K235" t="s">
        <v>1436</v>
      </c>
      <c r="L235">
        <v>3</v>
      </c>
      <c r="M235">
        <v>0</v>
      </c>
      <c r="N235">
        <v>0</v>
      </c>
      <c r="O235" t="s">
        <v>1440</v>
      </c>
      <c r="P235">
        <v>65964</v>
      </c>
      <c r="Q235">
        <v>11412</v>
      </c>
      <c r="R235" t="s">
        <v>1446</v>
      </c>
      <c r="S235" t="s">
        <v>1454</v>
      </c>
      <c r="U235" t="s">
        <v>1472</v>
      </c>
      <c r="AC235">
        <v>0</v>
      </c>
      <c r="AD235">
        <v>0</v>
      </c>
      <c r="AF235">
        <v>0</v>
      </c>
      <c r="AG235">
        <v>0</v>
      </c>
      <c r="AH235">
        <v>0</v>
      </c>
      <c r="AI235">
        <v>0</v>
      </c>
    </row>
    <row r="236" spans="1:35">
      <c r="A236" s="1">
        <f>HYPERLINK("https://lsnyc.legalserver.org/matter/dynamic-profile/view/1908557","19-1908557")</f>
        <v>0</v>
      </c>
      <c r="B236" t="s">
        <v>35</v>
      </c>
      <c r="C236" t="s">
        <v>43</v>
      </c>
      <c r="D236" t="s">
        <v>273</v>
      </c>
      <c r="E236" t="s">
        <v>702</v>
      </c>
      <c r="F236">
        <v>2094</v>
      </c>
      <c r="G236" t="s">
        <v>970</v>
      </c>
      <c r="H236" t="s">
        <v>1322</v>
      </c>
      <c r="I236" t="s">
        <v>1342</v>
      </c>
      <c r="K236" t="s">
        <v>1436</v>
      </c>
      <c r="L236">
        <v>2</v>
      </c>
      <c r="M236">
        <v>0</v>
      </c>
      <c r="N236">
        <v>1</v>
      </c>
      <c r="O236" t="s">
        <v>1440</v>
      </c>
      <c r="P236">
        <v>72120</v>
      </c>
      <c r="Q236">
        <v>10466</v>
      </c>
      <c r="R236" t="s">
        <v>1445</v>
      </c>
      <c r="S236" t="s">
        <v>1455</v>
      </c>
      <c r="AC236">
        <v>0</v>
      </c>
      <c r="AD236">
        <v>0</v>
      </c>
      <c r="AF236">
        <v>0</v>
      </c>
      <c r="AG236">
        <v>0</v>
      </c>
      <c r="AH236">
        <v>0</v>
      </c>
      <c r="AI236">
        <v>0</v>
      </c>
    </row>
    <row r="237" spans="1:35">
      <c r="A237" s="1">
        <f>HYPERLINK("https://lsnyc.legalserver.org/matter/dynamic-profile/view/1908591","19-1908591")</f>
        <v>0</v>
      </c>
      <c r="B237" t="s">
        <v>36</v>
      </c>
      <c r="C237" t="s">
        <v>52</v>
      </c>
      <c r="D237" t="s">
        <v>274</v>
      </c>
      <c r="E237" t="s">
        <v>663</v>
      </c>
      <c r="F237">
        <v>2093</v>
      </c>
      <c r="G237" t="s">
        <v>1161</v>
      </c>
      <c r="H237" t="s">
        <v>1317</v>
      </c>
      <c r="K237" t="s">
        <v>1436</v>
      </c>
      <c r="L237">
        <v>4</v>
      </c>
      <c r="M237">
        <v>0</v>
      </c>
      <c r="N237">
        <v>0</v>
      </c>
      <c r="P237">
        <v>87600</v>
      </c>
      <c r="Q237">
        <v>11413</v>
      </c>
      <c r="R237" t="s">
        <v>1446</v>
      </c>
      <c r="S237" t="s">
        <v>1454</v>
      </c>
      <c r="U237" t="s">
        <v>1473</v>
      </c>
      <c r="AC237">
        <v>0</v>
      </c>
      <c r="AD237">
        <v>0</v>
      </c>
      <c r="AF237">
        <v>0</v>
      </c>
      <c r="AG237">
        <v>0</v>
      </c>
      <c r="AH237">
        <v>0</v>
      </c>
      <c r="AI237">
        <v>0</v>
      </c>
    </row>
    <row r="238" spans="1:35">
      <c r="A238" s="1">
        <f>HYPERLINK("https://lsnyc.legalserver.org/matter/dynamic-profile/view/1908604","19-1908604")</f>
        <v>0</v>
      </c>
      <c r="B238" t="s">
        <v>36</v>
      </c>
      <c r="C238" t="s">
        <v>51</v>
      </c>
      <c r="D238" t="s">
        <v>275</v>
      </c>
      <c r="E238" t="s">
        <v>703</v>
      </c>
      <c r="F238">
        <v>2093</v>
      </c>
      <c r="G238" t="s">
        <v>1161</v>
      </c>
      <c r="H238" t="s">
        <v>1315</v>
      </c>
      <c r="I238" t="s">
        <v>1407</v>
      </c>
      <c r="K238" t="s">
        <v>1436</v>
      </c>
      <c r="L238">
        <v>4</v>
      </c>
      <c r="M238">
        <v>2</v>
      </c>
      <c r="N238">
        <v>0</v>
      </c>
      <c r="O238" t="s">
        <v>1440</v>
      </c>
      <c r="P238">
        <v>64298</v>
      </c>
      <c r="Q238">
        <v>11413</v>
      </c>
      <c r="R238" t="s">
        <v>1446</v>
      </c>
      <c r="S238" t="s">
        <v>1454</v>
      </c>
      <c r="U238" t="s">
        <v>1473</v>
      </c>
      <c r="V238" t="s">
        <v>1471</v>
      </c>
      <c r="AC238">
        <v>0</v>
      </c>
      <c r="AD238">
        <v>0</v>
      </c>
      <c r="AF238">
        <v>0</v>
      </c>
      <c r="AG238">
        <v>0</v>
      </c>
      <c r="AH238">
        <v>0</v>
      </c>
      <c r="AI238">
        <v>0</v>
      </c>
    </row>
    <row r="239" spans="1:35">
      <c r="A239" s="1">
        <f>HYPERLINK("https://lsnyc.legalserver.org/matter/dynamic-profile/view/1908697","19-1908697")</f>
        <v>0</v>
      </c>
      <c r="B239" t="s">
        <v>35</v>
      </c>
      <c r="C239" t="s">
        <v>43</v>
      </c>
      <c r="D239" t="s">
        <v>188</v>
      </c>
      <c r="E239" t="s">
        <v>569</v>
      </c>
      <c r="F239">
        <v>2094</v>
      </c>
      <c r="G239" t="s">
        <v>1162</v>
      </c>
      <c r="H239" t="s">
        <v>1188</v>
      </c>
      <c r="I239" t="s">
        <v>1349</v>
      </c>
      <c r="K239" t="s">
        <v>1436</v>
      </c>
      <c r="L239">
        <v>1</v>
      </c>
      <c r="M239">
        <v>0</v>
      </c>
      <c r="N239">
        <v>0</v>
      </c>
      <c r="O239" t="s">
        <v>1441</v>
      </c>
      <c r="P239">
        <v>39588</v>
      </c>
      <c r="Q239">
        <v>10466</v>
      </c>
      <c r="R239" t="s">
        <v>1445</v>
      </c>
      <c r="S239" t="s">
        <v>1452</v>
      </c>
      <c r="T239" t="s">
        <v>1454</v>
      </c>
      <c r="U239" t="s">
        <v>1475</v>
      </c>
      <c r="Y239" t="s">
        <v>1498</v>
      </c>
      <c r="AC239">
        <v>0</v>
      </c>
      <c r="AD239">
        <v>0</v>
      </c>
      <c r="AF239">
        <v>0</v>
      </c>
      <c r="AG239">
        <v>0</v>
      </c>
      <c r="AH239">
        <v>0</v>
      </c>
      <c r="AI239">
        <v>0</v>
      </c>
    </row>
    <row r="240" spans="1:35">
      <c r="A240" s="1">
        <f>HYPERLINK("https://lsnyc.legalserver.org/matter/dynamic-profile/view/1908864","19-1908864")</f>
        <v>0</v>
      </c>
      <c r="B240" t="s">
        <v>36</v>
      </c>
      <c r="C240" t="s">
        <v>52</v>
      </c>
      <c r="D240" t="s">
        <v>276</v>
      </c>
      <c r="E240" t="s">
        <v>704</v>
      </c>
      <c r="F240">
        <v>2093</v>
      </c>
      <c r="G240" t="s">
        <v>1163</v>
      </c>
      <c r="H240" t="s">
        <v>1313</v>
      </c>
      <c r="K240" t="s">
        <v>1436</v>
      </c>
      <c r="L240">
        <v>3</v>
      </c>
      <c r="M240">
        <v>0</v>
      </c>
      <c r="N240">
        <v>0</v>
      </c>
      <c r="P240">
        <v>75426</v>
      </c>
      <c r="Q240">
        <v>11412</v>
      </c>
      <c r="R240" t="s">
        <v>1446</v>
      </c>
      <c r="S240" t="s">
        <v>1454</v>
      </c>
      <c r="T240" t="s">
        <v>1458</v>
      </c>
      <c r="U240" t="s">
        <v>1478</v>
      </c>
      <c r="AC240">
        <v>0</v>
      </c>
      <c r="AD240">
        <v>0</v>
      </c>
      <c r="AF240">
        <v>0</v>
      </c>
      <c r="AG240">
        <v>0</v>
      </c>
      <c r="AH240">
        <v>0</v>
      </c>
      <c r="AI240">
        <v>0</v>
      </c>
    </row>
    <row r="241" spans="1:35">
      <c r="A241" s="1">
        <f>HYPERLINK("https://lsnyc.legalserver.org/matter/dynamic-profile/view/1908933","19-1908933")</f>
        <v>0</v>
      </c>
      <c r="B241" t="s">
        <v>35</v>
      </c>
      <c r="C241" t="s">
        <v>46</v>
      </c>
      <c r="D241" t="s">
        <v>277</v>
      </c>
      <c r="E241" t="s">
        <v>705</v>
      </c>
      <c r="F241">
        <v>2094</v>
      </c>
      <c r="G241" t="s">
        <v>993</v>
      </c>
      <c r="H241" t="s">
        <v>1186</v>
      </c>
      <c r="I241" t="s">
        <v>1336</v>
      </c>
      <c r="K241" t="s">
        <v>1436</v>
      </c>
      <c r="L241">
        <v>1</v>
      </c>
      <c r="M241">
        <v>0</v>
      </c>
      <c r="N241">
        <v>1</v>
      </c>
      <c r="O241" t="s">
        <v>1440</v>
      </c>
      <c r="P241">
        <v>75172.56</v>
      </c>
      <c r="Q241">
        <v>10473</v>
      </c>
      <c r="R241" t="s">
        <v>1445</v>
      </c>
      <c r="S241" t="s">
        <v>1456</v>
      </c>
      <c r="U241" t="s">
        <v>1475</v>
      </c>
      <c r="AC241">
        <v>0</v>
      </c>
      <c r="AD241">
        <v>0</v>
      </c>
      <c r="AF241">
        <v>0</v>
      </c>
      <c r="AG241">
        <v>0</v>
      </c>
      <c r="AH241">
        <v>0</v>
      </c>
      <c r="AI241">
        <v>0</v>
      </c>
    </row>
    <row r="242" spans="1:35">
      <c r="A242" s="1">
        <f>HYPERLINK("https://lsnyc.legalserver.org/matter/dynamic-profile/view/1909413","19-1909413")</f>
        <v>0</v>
      </c>
      <c r="B242" t="s">
        <v>37</v>
      </c>
      <c r="C242" t="s">
        <v>62</v>
      </c>
      <c r="D242" t="s">
        <v>229</v>
      </c>
      <c r="E242" t="s">
        <v>706</v>
      </c>
      <c r="F242">
        <v>2091</v>
      </c>
      <c r="G242" t="s">
        <v>1164</v>
      </c>
      <c r="H242" t="s">
        <v>1322</v>
      </c>
      <c r="K242" t="s">
        <v>1436</v>
      </c>
      <c r="L242">
        <v>1</v>
      </c>
      <c r="M242">
        <v>0</v>
      </c>
      <c r="N242">
        <v>0</v>
      </c>
      <c r="O242" t="s">
        <v>1443</v>
      </c>
      <c r="P242">
        <v>10752</v>
      </c>
      <c r="Q242">
        <v>11210</v>
      </c>
      <c r="R242" t="s">
        <v>1447</v>
      </c>
      <c r="S242" t="s">
        <v>1466</v>
      </c>
      <c r="U242" t="s">
        <v>1475</v>
      </c>
      <c r="V242" t="s">
        <v>1474</v>
      </c>
      <c r="AC242">
        <v>0</v>
      </c>
      <c r="AD242">
        <v>0</v>
      </c>
      <c r="AF242">
        <v>0</v>
      </c>
      <c r="AG242">
        <v>0</v>
      </c>
      <c r="AH242">
        <v>0</v>
      </c>
      <c r="AI242">
        <v>0</v>
      </c>
    </row>
    <row r="243" spans="1:35">
      <c r="A243" s="1">
        <f>HYPERLINK("https://lsnyc.legalserver.org/matter/dynamic-profile/view/1909424","19-1909424")</f>
        <v>0</v>
      </c>
      <c r="B243" t="s">
        <v>35</v>
      </c>
      <c r="C243" t="s">
        <v>46</v>
      </c>
      <c r="D243" t="s">
        <v>278</v>
      </c>
      <c r="E243" t="s">
        <v>707</v>
      </c>
      <c r="F243">
        <v>2094</v>
      </c>
      <c r="G243" t="s">
        <v>1164</v>
      </c>
      <c r="H243" t="s">
        <v>1318</v>
      </c>
      <c r="I243" t="s">
        <v>1408</v>
      </c>
      <c r="K243" t="s">
        <v>1436</v>
      </c>
      <c r="L243">
        <v>1</v>
      </c>
      <c r="M243">
        <v>0</v>
      </c>
      <c r="N243">
        <v>0</v>
      </c>
      <c r="O243" t="s">
        <v>1441</v>
      </c>
      <c r="P243">
        <v>30000</v>
      </c>
      <c r="Q243">
        <v>10470</v>
      </c>
      <c r="R243" t="s">
        <v>1445</v>
      </c>
      <c r="S243" t="s">
        <v>1454</v>
      </c>
      <c r="U243" t="s">
        <v>1478</v>
      </c>
      <c r="AC243">
        <v>0</v>
      </c>
      <c r="AD243">
        <v>0</v>
      </c>
      <c r="AF243">
        <v>0</v>
      </c>
      <c r="AG243">
        <v>0</v>
      </c>
      <c r="AH243">
        <v>0</v>
      </c>
      <c r="AI243">
        <v>0</v>
      </c>
    </row>
    <row r="244" spans="1:35">
      <c r="A244" s="1">
        <f>HYPERLINK("https://lsnyc.legalserver.org/matter/dynamic-profile/view/1909483","19-1909483")</f>
        <v>0</v>
      </c>
      <c r="B244" t="s">
        <v>35</v>
      </c>
      <c r="C244" t="s">
        <v>46</v>
      </c>
      <c r="D244" t="s">
        <v>279</v>
      </c>
      <c r="E244" t="s">
        <v>708</v>
      </c>
      <c r="F244">
        <v>2094</v>
      </c>
      <c r="G244" t="s">
        <v>994</v>
      </c>
      <c r="H244" t="s">
        <v>989</v>
      </c>
      <c r="I244" t="s">
        <v>1330</v>
      </c>
      <c r="K244" t="s">
        <v>1436</v>
      </c>
      <c r="L244">
        <v>2</v>
      </c>
      <c r="M244">
        <v>2</v>
      </c>
      <c r="N244">
        <v>0</v>
      </c>
      <c r="O244" t="s">
        <v>1442</v>
      </c>
      <c r="P244">
        <v>132900</v>
      </c>
      <c r="Q244">
        <v>10469</v>
      </c>
      <c r="R244" t="s">
        <v>1445</v>
      </c>
      <c r="S244" t="s">
        <v>1454</v>
      </c>
      <c r="U244" t="s">
        <v>1472</v>
      </c>
      <c r="Y244" t="s">
        <v>1515</v>
      </c>
      <c r="AC244">
        <v>0</v>
      </c>
      <c r="AD244">
        <v>0</v>
      </c>
      <c r="AF244">
        <v>0</v>
      </c>
      <c r="AG244">
        <v>0</v>
      </c>
      <c r="AH244">
        <v>0</v>
      </c>
      <c r="AI244">
        <v>0</v>
      </c>
    </row>
    <row r="245" spans="1:35">
      <c r="A245" s="1">
        <f>HYPERLINK("https://lsnyc.legalserver.org/matter/dynamic-profile/view/1909857","19-1909857")</f>
        <v>0</v>
      </c>
      <c r="B245" t="s">
        <v>36</v>
      </c>
      <c r="C245" t="s">
        <v>55</v>
      </c>
      <c r="D245" t="s">
        <v>280</v>
      </c>
      <c r="E245" t="s">
        <v>709</v>
      </c>
      <c r="F245">
        <v>2093</v>
      </c>
      <c r="G245" t="s">
        <v>1165</v>
      </c>
      <c r="H245" t="s">
        <v>1315</v>
      </c>
      <c r="K245" t="s">
        <v>1436</v>
      </c>
      <c r="L245">
        <v>1</v>
      </c>
      <c r="M245">
        <v>0</v>
      </c>
      <c r="N245">
        <v>0</v>
      </c>
      <c r="P245">
        <v>0</v>
      </c>
      <c r="Q245">
        <v>11412</v>
      </c>
      <c r="R245" t="s">
        <v>1446</v>
      </c>
      <c r="S245" t="s">
        <v>1466</v>
      </c>
      <c r="U245" t="s">
        <v>1470</v>
      </c>
      <c r="AC245">
        <v>0</v>
      </c>
      <c r="AD245">
        <v>0</v>
      </c>
      <c r="AF245">
        <v>0</v>
      </c>
      <c r="AG245">
        <v>0</v>
      </c>
      <c r="AH245">
        <v>0</v>
      </c>
      <c r="AI245">
        <v>0</v>
      </c>
    </row>
    <row r="246" spans="1:35">
      <c r="A246" s="1">
        <f>HYPERLINK("https://lsnyc.legalserver.org/matter/dynamic-profile/view/1910838","19-1910838")</f>
        <v>0</v>
      </c>
      <c r="B246" t="s">
        <v>36</v>
      </c>
      <c r="C246" t="s">
        <v>59</v>
      </c>
      <c r="D246" t="s">
        <v>281</v>
      </c>
      <c r="E246" t="s">
        <v>710</v>
      </c>
      <c r="F246">
        <v>2093</v>
      </c>
      <c r="G246" t="s">
        <v>1165</v>
      </c>
      <c r="H246" t="s">
        <v>1186</v>
      </c>
      <c r="K246" t="s">
        <v>1436</v>
      </c>
      <c r="L246">
        <v>2</v>
      </c>
      <c r="M246">
        <v>0</v>
      </c>
      <c r="N246">
        <v>0</v>
      </c>
      <c r="P246">
        <v>67000</v>
      </c>
      <c r="Q246">
        <v>11411</v>
      </c>
      <c r="R246" t="s">
        <v>1446</v>
      </c>
      <c r="S246" t="s">
        <v>1453</v>
      </c>
      <c r="U246" t="s">
        <v>1478</v>
      </c>
      <c r="AC246">
        <v>0</v>
      </c>
      <c r="AD246">
        <v>0</v>
      </c>
      <c r="AF246">
        <v>0</v>
      </c>
      <c r="AG246">
        <v>0</v>
      </c>
      <c r="AH246">
        <v>0</v>
      </c>
      <c r="AI246">
        <v>0</v>
      </c>
    </row>
    <row r="247" spans="1:35">
      <c r="A247" s="1">
        <f>HYPERLINK("https://lsnyc.legalserver.org/matter/dynamic-profile/view/1911075","19-1911075")</f>
        <v>0</v>
      </c>
      <c r="B247" t="s">
        <v>36</v>
      </c>
      <c r="C247" t="s">
        <v>59</v>
      </c>
      <c r="D247" t="s">
        <v>282</v>
      </c>
      <c r="E247" t="s">
        <v>711</v>
      </c>
      <c r="F247">
        <v>2093</v>
      </c>
      <c r="G247" t="s">
        <v>1166</v>
      </c>
      <c r="H247" t="s">
        <v>1308</v>
      </c>
      <c r="K247" t="s">
        <v>1436</v>
      </c>
      <c r="L247">
        <v>1</v>
      </c>
      <c r="M247">
        <v>0</v>
      </c>
      <c r="N247">
        <v>0</v>
      </c>
      <c r="O247" t="s">
        <v>1440</v>
      </c>
      <c r="P247">
        <v>35000</v>
      </c>
      <c r="Q247">
        <v>11434</v>
      </c>
      <c r="R247" t="s">
        <v>1446</v>
      </c>
      <c r="S247" t="s">
        <v>1454</v>
      </c>
      <c r="U247" t="s">
        <v>1470</v>
      </c>
      <c r="Y247" t="s">
        <v>1498</v>
      </c>
      <c r="AC247">
        <v>0</v>
      </c>
      <c r="AD247">
        <v>0</v>
      </c>
      <c r="AF247">
        <v>0</v>
      </c>
      <c r="AG247">
        <v>0</v>
      </c>
      <c r="AH247">
        <v>0</v>
      </c>
      <c r="AI247">
        <v>0</v>
      </c>
    </row>
    <row r="248" spans="1:35">
      <c r="A248" s="1">
        <f>HYPERLINK("https://lsnyc.legalserver.org/matter/dynamic-profile/view/1910961","19-1910961")</f>
        <v>0</v>
      </c>
      <c r="B248" t="s">
        <v>37</v>
      </c>
      <c r="C248" t="s">
        <v>50</v>
      </c>
      <c r="D248" t="s">
        <v>283</v>
      </c>
      <c r="E248" t="s">
        <v>712</v>
      </c>
      <c r="F248">
        <v>2091</v>
      </c>
      <c r="G248" t="s">
        <v>1167</v>
      </c>
      <c r="H248" t="s">
        <v>1313</v>
      </c>
      <c r="I248" t="s">
        <v>1380</v>
      </c>
      <c r="J248" t="s">
        <v>1365</v>
      </c>
      <c r="K248" t="s">
        <v>1436</v>
      </c>
      <c r="L248">
        <v>2</v>
      </c>
      <c r="M248">
        <v>0</v>
      </c>
      <c r="N248">
        <v>0</v>
      </c>
      <c r="O248" t="s">
        <v>1441</v>
      </c>
      <c r="P248">
        <v>93600</v>
      </c>
      <c r="Q248">
        <v>11233</v>
      </c>
      <c r="R248" t="s">
        <v>1447</v>
      </c>
      <c r="S248" t="s">
        <v>1454</v>
      </c>
      <c r="T248" t="s">
        <v>1463</v>
      </c>
      <c r="U248" t="s">
        <v>1472</v>
      </c>
      <c r="V248" t="s">
        <v>1470</v>
      </c>
      <c r="Y248" t="s">
        <v>1502</v>
      </c>
      <c r="AA248" t="s">
        <v>1498</v>
      </c>
      <c r="AC248">
        <v>0</v>
      </c>
      <c r="AD248">
        <v>0</v>
      </c>
      <c r="AF248">
        <v>0</v>
      </c>
      <c r="AG248">
        <v>0</v>
      </c>
      <c r="AH248">
        <v>0</v>
      </c>
      <c r="AI248">
        <v>0</v>
      </c>
    </row>
    <row r="249" spans="1:35">
      <c r="A249" s="1">
        <f>HYPERLINK("https://lsnyc.legalserver.org/matter/dynamic-profile/view/1911138","19-1911138")</f>
        <v>0</v>
      </c>
      <c r="B249" t="s">
        <v>35</v>
      </c>
      <c r="C249" t="s">
        <v>39</v>
      </c>
      <c r="D249" t="s">
        <v>284</v>
      </c>
      <c r="E249" t="s">
        <v>713</v>
      </c>
      <c r="F249">
        <v>2094</v>
      </c>
      <c r="G249" t="s">
        <v>1167</v>
      </c>
      <c r="H249" t="s">
        <v>1259</v>
      </c>
      <c r="I249" t="s">
        <v>1371</v>
      </c>
      <c r="K249" t="s">
        <v>1436</v>
      </c>
      <c r="L249">
        <v>3</v>
      </c>
      <c r="M249">
        <v>2</v>
      </c>
      <c r="N249">
        <v>1</v>
      </c>
      <c r="O249" t="s">
        <v>1439</v>
      </c>
      <c r="P249">
        <v>114000</v>
      </c>
      <c r="Q249">
        <v>10473</v>
      </c>
      <c r="R249" t="s">
        <v>1445</v>
      </c>
      <c r="S249" t="s">
        <v>1465</v>
      </c>
      <c r="U249" t="s">
        <v>1472</v>
      </c>
      <c r="AC249">
        <v>0</v>
      </c>
      <c r="AD249">
        <v>0</v>
      </c>
      <c r="AF249">
        <v>0</v>
      </c>
      <c r="AG249">
        <v>0</v>
      </c>
      <c r="AH249">
        <v>0</v>
      </c>
      <c r="AI249">
        <v>0</v>
      </c>
    </row>
    <row r="250" spans="1:35">
      <c r="A250" s="1">
        <f>HYPERLINK("https://lsnyc.legalserver.org/matter/dynamic-profile/view/1911156","19-1911156")</f>
        <v>0</v>
      </c>
      <c r="B250" t="s">
        <v>35</v>
      </c>
      <c r="C250" t="s">
        <v>39</v>
      </c>
      <c r="D250" t="s">
        <v>285</v>
      </c>
      <c r="E250" t="s">
        <v>714</v>
      </c>
      <c r="F250">
        <v>2094</v>
      </c>
      <c r="G250" t="s">
        <v>1167</v>
      </c>
      <c r="H250" t="s">
        <v>1259</v>
      </c>
      <c r="I250" t="s">
        <v>1349</v>
      </c>
      <c r="K250" t="s">
        <v>1436</v>
      </c>
      <c r="L250">
        <v>2</v>
      </c>
      <c r="M250">
        <v>0</v>
      </c>
      <c r="N250">
        <v>0</v>
      </c>
      <c r="O250" t="s">
        <v>1443</v>
      </c>
      <c r="P250">
        <v>47153.76</v>
      </c>
      <c r="Q250">
        <v>10465</v>
      </c>
      <c r="R250" t="s">
        <v>1445</v>
      </c>
      <c r="S250" t="s">
        <v>1468</v>
      </c>
      <c r="U250" t="s">
        <v>1472</v>
      </c>
      <c r="AC250">
        <v>0</v>
      </c>
      <c r="AD250">
        <v>0</v>
      </c>
      <c r="AF250">
        <v>0</v>
      </c>
      <c r="AG250">
        <v>0</v>
      </c>
      <c r="AH250">
        <v>0</v>
      </c>
      <c r="AI250">
        <v>0</v>
      </c>
    </row>
    <row r="251" spans="1:35">
      <c r="A251" s="1">
        <f>HYPERLINK("https://lsnyc.legalserver.org/matter/dynamic-profile/view/1911339","19-1911339")</f>
        <v>0</v>
      </c>
      <c r="B251" t="s">
        <v>37</v>
      </c>
      <c r="C251" t="s">
        <v>42</v>
      </c>
      <c r="D251" t="s">
        <v>286</v>
      </c>
      <c r="E251" t="s">
        <v>563</v>
      </c>
      <c r="F251">
        <v>2091</v>
      </c>
      <c r="G251" t="s">
        <v>983</v>
      </c>
      <c r="H251" t="s">
        <v>1313</v>
      </c>
      <c r="I251" t="s">
        <v>1397</v>
      </c>
      <c r="K251" t="s">
        <v>1436</v>
      </c>
      <c r="L251">
        <v>2</v>
      </c>
      <c r="M251">
        <v>1</v>
      </c>
      <c r="N251">
        <v>0</v>
      </c>
      <c r="O251" t="s">
        <v>1440</v>
      </c>
      <c r="P251">
        <v>3612</v>
      </c>
      <c r="Q251">
        <v>11203</v>
      </c>
      <c r="R251" t="s">
        <v>1447</v>
      </c>
      <c r="S251" t="s">
        <v>1453</v>
      </c>
      <c r="T251" t="s">
        <v>1460</v>
      </c>
      <c r="U251" t="s">
        <v>1473</v>
      </c>
      <c r="AC251">
        <v>0</v>
      </c>
      <c r="AD251">
        <v>0</v>
      </c>
      <c r="AF251">
        <v>0</v>
      </c>
      <c r="AG251">
        <v>0</v>
      </c>
      <c r="AH251">
        <v>0</v>
      </c>
      <c r="AI251">
        <v>0</v>
      </c>
    </row>
    <row r="252" spans="1:35">
      <c r="A252" s="1">
        <f>HYPERLINK("https://lsnyc.legalserver.org/matter/dynamic-profile/view/1911530","19-1911530")</f>
        <v>0</v>
      </c>
      <c r="B252" t="s">
        <v>36</v>
      </c>
      <c r="C252" t="s">
        <v>40</v>
      </c>
      <c r="D252" t="s">
        <v>188</v>
      </c>
      <c r="E252" t="s">
        <v>715</v>
      </c>
      <c r="F252">
        <v>2093</v>
      </c>
      <c r="G252" t="s">
        <v>1168</v>
      </c>
      <c r="H252" t="s">
        <v>1315</v>
      </c>
      <c r="K252" t="s">
        <v>1436</v>
      </c>
      <c r="L252">
        <v>1</v>
      </c>
      <c r="M252">
        <v>0</v>
      </c>
      <c r="N252">
        <v>0</v>
      </c>
      <c r="O252" t="s">
        <v>1440</v>
      </c>
      <c r="P252">
        <v>85000</v>
      </c>
      <c r="Q252">
        <v>11412</v>
      </c>
      <c r="R252" t="s">
        <v>1446</v>
      </c>
      <c r="S252" t="s">
        <v>1458</v>
      </c>
      <c r="U252" t="s">
        <v>1472</v>
      </c>
      <c r="Y252" t="s">
        <v>1502</v>
      </c>
      <c r="AC252">
        <v>0</v>
      </c>
      <c r="AD252">
        <v>0</v>
      </c>
      <c r="AF252">
        <v>0</v>
      </c>
      <c r="AG252">
        <v>0</v>
      </c>
      <c r="AH252">
        <v>0</v>
      </c>
      <c r="AI252">
        <v>0</v>
      </c>
    </row>
    <row r="253" spans="1:35">
      <c r="A253" s="1">
        <f>HYPERLINK("https://lsnyc.legalserver.org/matter/dynamic-profile/view/1911551","19-1911551")</f>
        <v>0</v>
      </c>
      <c r="B253" t="s">
        <v>38</v>
      </c>
      <c r="C253" t="s">
        <v>63</v>
      </c>
      <c r="D253" t="s">
        <v>287</v>
      </c>
      <c r="E253" t="s">
        <v>569</v>
      </c>
      <c r="F253">
        <v>2090</v>
      </c>
      <c r="G253" t="s">
        <v>984</v>
      </c>
      <c r="H253" t="s">
        <v>1188</v>
      </c>
      <c r="I253" t="s">
        <v>1342</v>
      </c>
      <c r="J253" t="s">
        <v>1430</v>
      </c>
      <c r="K253" t="s">
        <v>1436</v>
      </c>
      <c r="L253">
        <v>3</v>
      </c>
      <c r="M253">
        <v>5</v>
      </c>
      <c r="N253">
        <v>0</v>
      </c>
      <c r="P253">
        <v>77526.60000000001</v>
      </c>
      <c r="Q253">
        <v>10301</v>
      </c>
      <c r="R253" t="s">
        <v>1448</v>
      </c>
      <c r="S253" t="s">
        <v>1455</v>
      </c>
      <c r="U253" t="s">
        <v>1475</v>
      </c>
      <c r="AC253">
        <v>0</v>
      </c>
      <c r="AD253">
        <v>0</v>
      </c>
      <c r="AF253">
        <v>0</v>
      </c>
      <c r="AG253">
        <v>0</v>
      </c>
      <c r="AH253">
        <v>0</v>
      </c>
      <c r="AI253">
        <v>0</v>
      </c>
    </row>
    <row r="254" spans="1:35">
      <c r="A254" s="1">
        <f>HYPERLINK("https://lsnyc.legalserver.org/matter/dynamic-profile/view/1911046","19-1911046")</f>
        <v>0</v>
      </c>
      <c r="B254" t="s">
        <v>37</v>
      </c>
      <c r="C254" t="s">
        <v>54</v>
      </c>
      <c r="D254" t="s">
        <v>103</v>
      </c>
      <c r="E254" t="s">
        <v>716</v>
      </c>
      <c r="F254">
        <v>2091</v>
      </c>
      <c r="G254" t="s">
        <v>1013</v>
      </c>
      <c r="H254" t="s">
        <v>1317</v>
      </c>
      <c r="K254" t="s">
        <v>1436</v>
      </c>
      <c r="L254">
        <v>2</v>
      </c>
      <c r="M254">
        <v>0</v>
      </c>
      <c r="N254">
        <v>0</v>
      </c>
      <c r="P254">
        <v>69480</v>
      </c>
      <c r="Q254">
        <v>11207</v>
      </c>
      <c r="R254" t="s">
        <v>1447</v>
      </c>
      <c r="S254" t="s">
        <v>1462</v>
      </c>
      <c r="U254" t="s">
        <v>1472</v>
      </c>
      <c r="V254" t="s">
        <v>1470</v>
      </c>
      <c r="Y254" t="s">
        <v>1502</v>
      </c>
      <c r="AC254">
        <v>0</v>
      </c>
      <c r="AD254">
        <v>0</v>
      </c>
      <c r="AF254">
        <v>0</v>
      </c>
      <c r="AG254">
        <v>0</v>
      </c>
      <c r="AH254">
        <v>0</v>
      </c>
      <c r="AI254">
        <v>0</v>
      </c>
    </row>
    <row r="255" spans="1:35">
      <c r="A255" s="1">
        <f>HYPERLINK("https://lsnyc.legalserver.org/matter/dynamic-profile/view/1911418","19-1911418")</f>
        <v>0</v>
      </c>
      <c r="B255" t="s">
        <v>37</v>
      </c>
      <c r="C255" t="s">
        <v>54</v>
      </c>
      <c r="D255" t="s">
        <v>214</v>
      </c>
      <c r="E255" t="s">
        <v>717</v>
      </c>
      <c r="F255">
        <v>2091</v>
      </c>
      <c r="G255" t="s">
        <v>1013</v>
      </c>
      <c r="H255" t="s">
        <v>1313</v>
      </c>
      <c r="K255" t="s">
        <v>1436</v>
      </c>
      <c r="L255">
        <v>1</v>
      </c>
      <c r="M255">
        <v>0</v>
      </c>
      <c r="N255">
        <v>0</v>
      </c>
      <c r="O255" t="s">
        <v>1441</v>
      </c>
      <c r="P255">
        <v>79000</v>
      </c>
      <c r="Q255">
        <v>11233</v>
      </c>
      <c r="R255" t="s">
        <v>1447</v>
      </c>
      <c r="S255" t="s">
        <v>1453</v>
      </c>
      <c r="T255" t="s">
        <v>1463</v>
      </c>
      <c r="U255" t="s">
        <v>1472</v>
      </c>
      <c r="V255" t="s">
        <v>1470</v>
      </c>
      <c r="Y255" t="s">
        <v>1502</v>
      </c>
      <c r="AC255">
        <v>0</v>
      </c>
      <c r="AD255">
        <v>0</v>
      </c>
      <c r="AF255">
        <v>0</v>
      </c>
      <c r="AG255">
        <v>0</v>
      </c>
      <c r="AH255">
        <v>0</v>
      </c>
      <c r="AI255">
        <v>0</v>
      </c>
    </row>
    <row r="256" spans="1:35">
      <c r="A256" s="1">
        <f>HYPERLINK("https://lsnyc.legalserver.org/matter/dynamic-profile/view/1911670","19-1911670")</f>
        <v>0</v>
      </c>
      <c r="B256" t="s">
        <v>37</v>
      </c>
      <c r="C256" t="s">
        <v>57</v>
      </c>
      <c r="D256" t="s">
        <v>288</v>
      </c>
      <c r="E256" t="s">
        <v>718</v>
      </c>
      <c r="F256">
        <v>2091</v>
      </c>
      <c r="G256" t="s">
        <v>1013</v>
      </c>
      <c r="H256" t="s">
        <v>1315</v>
      </c>
      <c r="I256" t="s">
        <v>1338</v>
      </c>
      <c r="K256" t="s">
        <v>1436</v>
      </c>
      <c r="L256">
        <v>1</v>
      </c>
      <c r="M256">
        <v>0</v>
      </c>
      <c r="N256">
        <v>0</v>
      </c>
      <c r="O256" t="s">
        <v>1441</v>
      </c>
      <c r="P256">
        <v>19200</v>
      </c>
      <c r="Q256">
        <v>11225</v>
      </c>
      <c r="R256" t="s">
        <v>1447</v>
      </c>
      <c r="S256" t="s">
        <v>1453</v>
      </c>
      <c r="U256" t="s">
        <v>1478</v>
      </c>
      <c r="AC256">
        <v>0</v>
      </c>
      <c r="AD256">
        <v>0</v>
      </c>
      <c r="AF256">
        <v>0</v>
      </c>
      <c r="AG256">
        <v>0</v>
      </c>
      <c r="AH256">
        <v>0</v>
      </c>
      <c r="AI256">
        <v>0</v>
      </c>
    </row>
    <row r="257" spans="1:35">
      <c r="A257" s="1">
        <f>HYPERLINK("https://lsnyc.legalserver.org/matter/dynamic-profile/view/1911682","19-1911682")</f>
        <v>0</v>
      </c>
      <c r="B257" t="s">
        <v>35</v>
      </c>
      <c r="C257" t="s">
        <v>39</v>
      </c>
      <c r="D257" t="s">
        <v>146</v>
      </c>
      <c r="E257" t="s">
        <v>719</v>
      </c>
      <c r="F257">
        <v>2094</v>
      </c>
      <c r="G257" t="s">
        <v>1013</v>
      </c>
      <c r="H257" t="s">
        <v>1186</v>
      </c>
      <c r="I257" t="s">
        <v>1336</v>
      </c>
      <c r="K257" t="s">
        <v>1436</v>
      </c>
      <c r="L257">
        <v>1</v>
      </c>
      <c r="M257">
        <v>0</v>
      </c>
      <c r="N257">
        <v>0</v>
      </c>
      <c r="O257" t="s">
        <v>1442</v>
      </c>
      <c r="P257">
        <v>72800</v>
      </c>
      <c r="Q257">
        <v>10454</v>
      </c>
      <c r="R257" t="s">
        <v>1445</v>
      </c>
      <c r="S257" t="s">
        <v>1453</v>
      </c>
      <c r="T257" t="s">
        <v>1463</v>
      </c>
      <c r="U257" t="s">
        <v>1475</v>
      </c>
      <c r="V257" t="s">
        <v>1473</v>
      </c>
      <c r="AC257">
        <v>0</v>
      </c>
      <c r="AD257">
        <v>0</v>
      </c>
      <c r="AF257">
        <v>0</v>
      </c>
      <c r="AG257">
        <v>0</v>
      </c>
      <c r="AH257">
        <v>0</v>
      </c>
      <c r="AI257">
        <v>0</v>
      </c>
    </row>
    <row r="258" spans="1:35">
      <c r="A258" s="1">
        <f>HYPERLINK("https://lsnyc.legalserver.org/matter/dynamic-profile/view/1911719","19-1911719")</f>
        <v>0</v>
      </c>
      <c r="B258" t="s">
        <v>35</v>
      </c>
      <c r="C258" t="s">
        <v>39</v>
      </c>
      <c r="D258" t="s">
        <v>289</v>
      </c>
      <c r="E258" t="s">
        <v>720</v>
      </c>
      <c r="F258">
        <v>2094</v>
      </c>
      <c r="G258" t="s">
        <v>1013</v>
      </c>
      <c r="H258" t="s">
        <v>1186</v>
      </c>
      <c r="I258" t="s">
        <v>1405</v>
      </c>
      <c r="K258" t="s">
        <v>1436</v>
      </c>
      <c r="L258">
        <v>2</v>
      </c>
      <c r="M258">
        <v>0</v>
      </c>
      <c r="N258">
        <v>0</v>
      </c>
      <c r="O258" t="s">
        <v>1440</v>
      </c>
      <c r="P258">
        <v>0</v>
      </c>
      <c r="Q258">
        <v>10466</v>
      </c>
      <c r="R258" t="s">
        <v>1445</v>
      </c>
      <c r="S258" t="s">
        <v>1453</v>
      </c>
      <c r="U258" t="s">
        <v>1475</v>
      </c>
      <c r="Y258" t="s">
        <v>1498</v>
      </c>
      <c r="AC258">
        <v>0</v>
      </c>
      <c r="AD258">
        <v>0</v>
      </c>
      <c r="AF258">
        <v>0</v>
      </c>
      <c r="AG258">
        <v>0</v>
      </c>
      <c r="AH258">
        <v>0</v>
      </c>
      <c r="AI258">
        <v>0</v>
      </c>
    </row>
    <row r="259" spans="1:35">
      <c r="A259" s="1">
        <f>HYPERLINK("https://lsnyc.legalserver.org/matter/dynamic-profile/view/1911723","19-1911723")</f>
        <v>0</v>
      </c>
      <c r="B259" t="s">
        <v>36</v>
      </c>
      <c r="C259" t="s">
        <v>47</v>
      </c>
      <c r="D259" t="s">
        <v>290</v>
      </c>
      <c r="E259" t="s">
        <v>721</v>
      </c>
      <c r="F259">
        <v>2093</v>
      </c>
      <c r="G259" t="s">
        <v>1013</v>
      </c>
      <c r="H259" t="s">
        <v>1317</v>
      </c>
      <c r="I259" t="s">
        <v>1330</v>
      </c>
      <c r="K259" t="s">
        <v>1436</v>
      </c>
      <c r="L259">
        <v>3</v>
      </c>
      <c r="M259">
        <v>2</v>
      </c>
      <c r="N259">
        <v>0</v>
      </c>
      <c r="O259" t="s">
        <v>1440</v>
      </c>
      <c r="P259">
        <v>63352</v>
      </c>
      <c r="Q259">
        <v>11420</v>
      </c>
      <c r="R259" t="s">
        <v>1446</v>
      </c>
      <c r="S259" t="s">
        <v>1454</v>
      </c>
      <c r="U259" t="s">
        <v>1471</v>
      </c>
      <c r="AC259">
        <v>0</v>
      </c>
      <c r="AD259">
        <v>0</v>
      </c>
      <c r="AF259">
        <v>0</v>
      </c>
      <c r="AG259">
        <v>0</v>
      </c>
      <c r="AH259">
        <v>0</v>
      </c>
      <c r="AI259">
        <v>0</v>
      </c>
    </row>
    <row r="260" spans="1:35">
      <c r="A260" s="1">
        <f>HYPERLINK("https://lsnyc.legalserver.org/matter/dynamic-profile/view/1911728","19-1911728")</f>
        <v>0</v>
      </c>
      <c r="B260" t="s">
        <v>35</v>
      </c>
      <c r="C260" t="s">
        <v>39</v>
      </c>
      <c r="D260" t="s">
        <v>291</v>
      </c>
      <c r="E260" t="s">
        <v>706</v>
      </c>
      <c r="F260">
        <v>2094</v>
      </c>
      <c r="G260" t="s">
        <v>1013</v>
      </c>
      <c r="H260" t="s">
        <v>1186</v>
      </c>
      <c r="I260" t="s">
        <v>1344</v>
      </c>
      <c r="K260" t="s">
        <v>1436</v>
      </c>
      <c r="L260">
        <v>2</v>
      </c>
      <c r="M260">
        <v>0</v>
      </c>
      <c r="N260">
        <v>0</v>
      </c>
      <c r="O260" t="s">
        <v>1442</v>
      </c>
      <c r="P260">
        <v>104800</v>
      </c>
      <c r="Q260">
        <v>10451</v>
      </c>
      <c r="R260" t="s">
        <v>1445</v>
      </c>
      <c r="S260" t="s">
        <v>1452</v>
      </c>
      <c r="T260" t="s">
        <v>1454</v>
      </c>
      <c r="U260" t="s">
        <v>1472</v>
      </c>
      <c r="Y260" t="s">
        <v>1502</v>
      </c>
      <c r="AC260">
        <v>0</v>
      </c>
      <c r="AD260">
        <v>0</v>
      </c>
      <c r="AF260">
        <v>0</v>
      </c>
      <c r="AG260">
        <v>0</v>
      </c>
      <c r="AH260">
        <v>0</v>
      </c>
      <c r="AI260">
        <v>0</v>
      </c>
    </row>
    <row r="261" spans="1:35">
      <c r="A261" s="1">
        <f>HYPERLINK("https://lsnyc.legalserver.org/matter/dynamic-profile/view/1907180","19-1907180")</f>
        <v>0</v>
      </c>
      <c r="B261" t="s">
        <v>37</v>
      </c>
      <c r="C261" t="s">
        <v>57</v>
      </c>
      <c r="D261" t="s">
        <v>292</v>
      </c>
      <c r="E261" t="s">
        <v>722</v>
      </c>
      <c r="F261">
        <v>2091</v>
      </c>
      <c r="G261" t="s">
        <v>1169</v>
      </c>
      <c r="H261" t="s">
        <v>1313</v>
      </c>
      <c r="I261" t="s">
        <v>1336</v>
      </c>
      <c r="K261" t="s">
        <v>1436</v>
      </c>
      <c r="L261">
        <v>2</v>
      </c>
      <c r="M261">
        <v>1</v>
      </c>
      <c r="N261">
        <v>0</v>
      </c>
      <c r="O261" t="s">
        <v>1441</v>
      </c>
      <c r="P261">
        <v>116000</v>
      </c>
      <c r="Q261">
        <v>11234</v>
      </c>
      <c r="R261" t="s">
        <v>1447</v>
      </c>
      <c r="S261" t="s">
        <v>1453</v>
      </c>
      <c r="U261" t="s">
        <v>1476</v>
      </c>
      <c r="V261" t="s">
        <v>1489</v>
      </c>
      <c r="Y261" t="s">
        <v>1507</v>
      </c>
      <c r="AA261" t="s">
        <v>1498</v>
      </c>
      <c r="AC261">
        <v>0</v>
      </c>
      <c r="AD261">
        <v>0</v>
      </c>
      <c r="AF261">
        <v>0</v>
      </c>
      <c r="AG261">
        <v>0</v>
      </c>
      <c r="AH261">
        <v>0</v>
      </c>
      <c r="AI261">
        <v>0</v>
      </c>
    </row>
    <row r="262" spans="1:35">
      <c r="A262" s="1">
        <f>HYPERLINK("https://lsnyc.legalserver.org/matter/dynamic-profile/view/1911905","19-1911905")</f>
        <v>0</v>
      </c>
      <c r="B262" t="s">
        <v>37</v>
      </c>
      <c r="C262" t="s">
        <v>54</v>
      </c>
      <c r="D262" t="s">
        <v>124</v>
      </c>
      <c r="E262" t="s">
        <v>723</v>
      </c>
      <c r="F262">
        <v>2091</v>
      </c>
      <c r="G262" t="s">
        <v>1170</v>
      </c>
      <c r="H262" t="s">
        <v>1321</v>
      </c>
      <c r="K262" t="s">
        <v>1436</v>
      </c>
      <c r="L262">
        <v>2</v>
      </c>
      <c r="M262">
        <v>0</v>
      </c>
      <c r="N262">
        <v>1</v>
      </c>
      <c r="O262" t="s">
        <v>1441</v>
      </c>
      <c r="P262">
        <v>35784</v>
      </c>
      <c r="Q262">
        <v>11234</v>
      </c>
      <c r="R262" t="s">
        <v>1447</v>
      </c>
      <c r="S262" t="s">
        <v>1463</v>
      </c>
      <c r="T262" t="s">
        <v>1463</v>
      </c>
      <c r="U262" t="s">
        <v>1475</v>
      </c>
      <c r="AC262">
        <v>0</v>
      </c>
      <c r="AD262">
        <v>0</v>
      </c>
      <c r="AF262">
        <v>0</v>
      </c>
      <c r="AG262">
        <v>0</v>
      </c>
      <c r="AH262">
        <v>0</v>
      </c>
      <c r="AI262">
        <v>0</v>
      </c>
    </row>
    <row r="263" spans="1:35">
      <c r="A263" s="1">
        <f>HYPERLINK("https://lsnyc.legalserver.org/matter/dynamic-profile/view/1908977","19-1908977")</f>
        <v>0</v>
      </c>
      <c r="B263" t="s">
        <v>37</v>
      </c>
      <c r="C263" t="s">
        <v>42</v>
      </c>
      <c r="D263" t="s">
        <v>293</v>
      </c>
      <c r="E263" t="s">
        <v>724</v>
      </c>
      <c r="F263">
        <v>2091</v>
      </c>
      <c r="G263" t="s">
        <v>1171</v>
      </c>
      <c r="H263" t="s">
        <v>1318</v>
      </c>
      <c r="I263" t="s">
        <v>1389</v>
      </c>
      <c r="K263" t="s">
        <v>1436</v>
      </c>
      <c r="L263">
        <v>1</v>
      </c>
      <c r="M263">
        <v>0</v>
      </c>
      <c r="N263">
        <v>0</v>
      </c>
      <c r="O263" t="s">
        <v>1441</v>
      </c>
      <c r="P263">
        <v>18000</v>
      </c>
      <c r="Q263">
        <v>11207</v>
      </c>
      <c r="R263" t="s">
        <v>1447</v>
      </c>
      <c r="S263" t="s">
        <v>1453</v>
      </c>
      <c r="U263" t="s">
        <v>1475</v>
      </c>
      <c r="AC263">
        <v>0</v>
      </c>
      <c r="AD263">
        <v>0</v>
      </c>
      <c r="AF263">
        <v>0</v>
      </c>
      <c r="AG263">
        <v>0</v>
      </c>
      <c r="AH263">
        <v>0</v>
      </c>
      <c r="AI263">
        <v>0</v>
      </c>
    </row>
    <row r="264" spans="1:35">
      <c r="A264" s="1">
        <f>HYPERLINK("https://lsnyc.legalserver.org/matter/dynamic-profile/view/1911941","19-1911941")</f>
        <v>0</v>
      </c>
      <c r="B264" t="s">
        <v>36</v>
      </c>
      <c r="C264" t="s">
        <v>49</v>
      </c>
      <c r="D264" t="s">
        <v>294</v>
      </c>
      <c r="E264" t="s">
        <v>670</v>
      </c>
      <c r="F264">
        <v>2093</v>
      </c>
      <c r="G264" t="s">
        <v>1171</v>
      </c>
      <c r="H264" t="s">
        <v>1184</v>
      </c>
      <c r="K264" t="s">
        <v>1436</v>
      </c>
      <c r="L264">
        <v>1</v>
      </c>
      <c r="M264">
        <v>0</v>
      </c>
      <c r="N264">
        <v>0</v>
      </c>
      <c r="P264">
        <v>19000</v>
      </c>
      <c r="Q264">
        <v>11413</v>
      </c>
      <c r="R264" t="s">
        <v>1446</v>
      </c>
      <c r="S264" t="s">
        <v>1457</v>
      </c>
      <c r="U264" t="s">
        <v>1470</v>
      </c>
      <c r="V264" t="s">
        <v>1489</v>
      </c>
      <c r="AC264">
        <v>0</v>
      </c>
      <c r="AD264">
        <v>0</v>
      </c>
      <c r="AF264">
        <v>0</v>
      </c>
      <c r="AG264">
        <v>0</v>
      </c>
      <c r="AH264">
        <v>0</v>
      </c>
      <c r="AI264">
        <v>0</v>
      </c>
    </row>
    <row r="265" spans="1:35">
      <c r="A265" s="1">
        <f>HYPERLINK("https://lsnyc.legalserver.org/matter/dynamic-profile/view/1912084","19-1912084")</f>
        <v>0</v>
      </c>
      <c r="B265" t="s">
        <v>36</v>
      </c>
      <c r="C265" t="s">
        <v>40</v>
      </c>
      <c r="D265" t="s">
        <v>295</v>
      </c>
      <c r="E265" t="s">
        <v>706</v>
      </c>
      <c r="F265">
        <v>2093</v>
      </c>
      <c r="G265" t="s">
        <v>1172</v>
      </c>
      <c r="H265" t="s">
        <v>1186</v>
      </c>
      <c r="I265" t="s">
        <v>1409</v>
      </c>
      <c r="K265" t="s">
        <v>1436</v>
      </c>
      <c r="L265">
        <v>1</v>
      </c>
      <c r="M265">
        <v>0</v>
      </c>
      <c r="N265">
        <v>1</v>
      </c>
      <c r="O265" t="s">
        <v>1440</v>
      </c>
      <c r="P265">
        <v>24000</v>
      </c>
      <c r="Q265">
        <v>11412</v>
      </c>
      <c r="R265" t="s">
        <v>1446</v>
      </c>
      <c r="S265" t="s">
        <v>1452</v>
      </c>
      <c r="U265" t="s">
        <v>1470</v>
      </c>
      <c r="AC265">
        <v>0</v>
      </c>
      <c r="AD265">
        <v>0</v>
      </c>
      <c r="AF265">
        <v>0</v>
      </c>
      <c r="AG265">
        <v>0</v>
      </c>
      <c r="AH265">
        <v>0</v>
      </c>
      <c r="AI265">
        <v>0</v>
      </c>
    </row>
    <row r="266" spans="1:35">
      <c r="A266" s="1">
        <f>HYPERLINK("https://lsnyc.legalserver.org/matter/dynamic-profile/view/1912328","19-1912328")</f>
        <v>0</v>
      </c>
      <c r="B266" t="s">
        <v>37</v>
      </c>
      <c r="C266" t="s">
        <v>57</v>
      </c>
      <c r="D266" t="s">
        <v>296</v>
      </c>
      <c r="E266" t="s">
        <v>725</v>
      </c>
      <c r="F266">
        <v>2091</v>
      </c>
      <c r="G266" t="s">
        <v>1172</v>
      </c>
      <c r="H266" t="s">
        <v>1317</v>
      </c>
      <c r="I266" t="s">
        <v>1336</v>
      </c>
      <c r="K266" t="s">
        <v>1436</v>
      </c>
      <c r="L266">
        <v>2</v>
      </c>
      <c r="M266">
        <v>0</v>
      </c>
      <c r="N266">
        <v>1</v>
      </c>
      <c r="P266">
        <v>39972</v>
      </c>
      <c r="Q266">
        <v>11210</v>
      </c>
      <c r="R266" t="s">
        <v>1447</v>
      </c>
      <c r="S266" t="s">
        <v>1460</v>
      </c>
      <c r="U266" t="s">
        <v>1475</v>
      </c>
      <c r="AC266">
        <v>0</v>
      </c>
      <c r="AD266">
        <v>0</v>
      </c>
      <c r="AF266">
        <v>0</v>
      </c>
      <c r="AG266">
        <v>0</v>
      </c>
      <c r="AH266">
        <v>0</v>
      </c>
      <c r="AI266">
        <v>0</v>
      </c>
    </row>
    <row r="267" spans="1:35">
      <c r="A267" s="1">
        <f>HYPERLINK("https://lsnyc.legalserver.org/matter/dynamic-profile/view/1912184","19-1912184")</f>
        <v>0</v>
      </c>
      <c r="B267" t="s">
        <v>36</v>
      </c>
      <c r="C267" t="s">
        <v>59</v>
      </c>
      <c r="D267" t="s">
        <v>297</v>
      </c>
      <c r="E267" t="s">
        <v>726</v>
      </c>
      <c r="F267">
        <v>2093</v>
      </c>
      <c r="G267" t="s">
        <v>985</v>
      </c>
      <c r="H267" t="s">
        <v>1184</v>
      </c>
      <c r="K267" t="s">
        <v>1436</v>
      </c>
      <c r="L267">
        <v>1</v>
      </c>
      <c r="M267">
        <v>0</v>
      </c>
      <c r="N267">
        <v>0</v>
      </c>
      <c r="P267">
        <v>49200</v>
      </c>
      <c r="Q267">
        <v>11422</v>
      </c>
      <c r="R267" t="s">
        <v>1446</v>
      </c>
      <c r="S267" t="s">
        <v>1454</v>
      </c>
      <c r="U267" t="s">
        <v>1472</v>
      </c>
      <c r="Y267" t="s">
        <v>1502</v>
      </c>
      <c r="AC267">
        <v>0</v>
      </c>
      <c r="AD267">
        <v>0</v>
      </c>
      <c r="AF267">
        <v>0</v>
      </c>
      <c r="AG267">
        <v>0</v>
      </c>
      <c r="AH267">
        <v>0</v>
      </c>
      <c r="AI267">
        <v>0</v>
      </c>
    </row>
    <row r="268" spans="1:35">
      <c r="A268" s="1">
        <f>HYPERLINK("https://lsnyc.legalserver.org/matter/dynamic-profile/view/1912212","19-1912212")</f>
        <v>0</v>
      </c>
      <c r="B268" t="s">
        <v>35</v>
      </c>
      <c r="C268" t="s">
        <v>39</v>
      </c>
      <c r="D268" t="s">
        <v>298</v>
      </c>
      <c r="E268" t="s">
        <v>727</v>
      </c>
      <c r="F268">
        <v>2094</v>
      </c>
      <c r="G268" t="s">
        <v>985</v>
      </c>
      <c r="H268" t="s">
        <v>1186</v>
      </c>
      <c r="I268" t="s">
        <v>1410</v>
      </c>
      <c r="K268" t="s">
        <v>1436</v>
      </c>
      <c r="L268">
        <v>1</v>
      </c>
      <c r="M268">
        <v>0</v>
      </c>
      <c r="N268">
        <v>0</v>
      </c>
      <c r="O268" t="s">
        <v>1439</v>
      </c>
      <c r="P268">
        <v>98000</v>
      </c>
      <c r="Q268">
        <v>10462</v>
      </c>
      <c r="R268" t="s">
        <v>1445</v>
      </c>
      <c r="S268" t="s">
        <v>1452</v>
      </c>
      <c r="U268" t="s">
        <v>1475</v>
      </c>
      <c r="Y268" t="s">
        <v>1498</v>
      </c>
      <c r="AC268">
        <v>0</v>
      </c>
      <c r="AD268">
        <v>0</v>
      </c>
      <c r="AF268">
        <v>0</v>
      </c>
      <c r="AG268">
        <v>0</v>
      </c>
      <c r="AH268">
        <v>0</v>
      </c>
      <c r="AI268">
        <v>0</v>
      </c>
    </row>
    <row r="269" spans="1:35">
      <c r="A269" s="1">
        <f>HYPERLINK("https://lsnyc.legalserver.org/matter/dynamic-profile/view/1912225","19-1912225")</f>
        <v>0</v>
      </c>
      <c r="B269" t="s">
        <v>35</v>
      </c>
      <c r="C269" t="s">
        <v>39</v>
      </c>
      <c r="D269" t="s">
        <v>299</v>
      </c>
      <c r="E269" t="s">
        <v>728</v>
      </c>
      <c r="F269">
        <v>2094</v>
      </c>
      <c r="G269" t="s">
        <v>985</v>
      </c>
      <c r="H269" t="s">
        <v>1186</v>
      </c>
      <c r="I269" t="s">
        <v>1337</v>
      </c>
      <c r="K269" t="s">
        <v>1436</v>
      </c>
      <c r="L269">
        <v>3</v>
      </c>
      <c r="M269">
        <v>0</v>
      </c>
      <c r="N269">
        <v>1</v>
      </c>
      <c r="O269" t="s">
        <v>1443</v>
      </c>
      <c r="P269">
        <v>114000</v>
      </c>
      <c r="Q269">
        <v>10468</v>
      </c>
      <c r="R269" t="s">
        <v>1445</v>
      </c>
      <c r="S269" t="s">
        <v>1456</v>
      </c>
      <c r="U269" t="s">
        <v>1475</v>
      </c>
      <c r="Y269" t="s">
        <v>1498</v>
      </c>
      <c r="AC269">
        <v>0</v>
      </c>
      <c r="AD269">
        <v>0</v>
      </c>
      <c r="AF269">
        <v>0</v>
      </c>
      <c r="AG269">
        <v>0</v>
      </c>
      <c r="AH269">
        <v>0</v>
      </c>
      <c r="AI269">
        <v>0</v>
      </c>
    </row>
    <row r="270" spans="1:35">
      <c r="A270" s="1">
        <f>HYPERLINK("https://lsnyc.legalserver.org/matter/dynamic-profile/view/1912238","19-1912238")</f>
        <v>0</v>
      </c>
      <c r="B270" t="s">
        <v>36</v>
      </c>
      <c r="C270" t="s">
        <v>51</v>
      </c>
      <c r="D270" t="s">
        <v>300</v>
      </c>
      <c r="E270" t="s">
        <v>729</v>
      </c>
      <c r="F270">
        <v>2093</v>
      </c>
      <c r="G270" t="s">
        <v>985</v>
      </c>
      <c r="H270" t="s">
        <v>1184</v>
      </c>
      <c r="I270" t="s">
        <v>1358</v>
      </c>
      <c r="K270" t="s">
        <v>1436</v>
      </c>
      <c r="L270">
        <v>1</v>
      </c>
      <c r="M270">
        <v>0</v>
      </c>
      <c r="N270">
        <v>1</v>
      </c>
      <c r="O270" t="s">
        <v>1440</v>
      </c>
      <c r="P270">
        <v>26400</v>
      </c>
      <c r="Q270">
        <v>11423</v>
      </c>
      <c r="R270" t="s">
        <v>1446</v>
      </c>
      <c r="S270" t="s">
        <v>1464</v>
      </c>
      <c r="U270" t="s">
        <v>1475</v>
      </c>
      <c r="AC270">
        <v>0</v>
      </c>
      <c r="AD270">
        <v>0</v>
      </c>
      <c r="AF270">
        <v>0</v>
      </c>
      <c r="AG270">
        <v>0</v>
      </c>
      <c r="AH270">
        <v>0</v>
      </c>
      <c r="AI270">
        <v>0</v>
      </c>
    </row>
    <row r="271" spans="1:35">
      <c r="A271" s="1">
        <f>HYPERLINK("https://lsnyc.legalserver.org/matter/dynamic-profile/view/1912240","19-1912240")</f>
        <v>0</v>
      </c>
      <c r="B271" t="s">
        <v>37</v>
      </c>
      <c r="C271" t="s">
        <v>50</v>
      </c>
      <c r="D271" t="s">
        <v>186</v>
      </c>
      <c r="E271" t="s">
        <v>730</v>
      </c>
      <c r="F271">
        <v>2091</v>
      </c>
      <c r="G271" t="s">
        <v>985</v>
      </c>
      <c r="H271" t="s">
        <v>1317</v>
      </c>
      <c r="K271" t="s">
        <v>1436</v>
      </c>
      <c r="L271">
        <v>2</v>
      </c>
      <c r="M271">
        <v>2</v>
      </c>
      <c r="N271">
        <v>0</v>
      </c>
      <c r="O271" t="s">
        <v>1441</v>
      </c>
      <c r="P271">
        <v>30400</v>
      </c>
      <c r="Q271">
        <v>11212</v>
      </c>
      <c r="R271" t="s">
        <v>1447</v>
      </c>
      <c r="S271" t="s">
        <v>1462</v>
      </c>
      <c r="U271" t="s">
        <v>1475</v>
      </c>
      <c r="AC271">
        <v>0</v>
      </c>
      <c r="AD271">
        <v>0</v>
      </c>
      <c r="AF271">
        <v>0</v>
      </c>
      <c r="AG271">
        <v>0</v>
      </c>
      <c r="AH271">
        <v>0</v>
      </c>
      <c r="AI271">
        <v>0</v>
      </c>
    </row>
    <row r="272" spans="1:35">
      <c r="A272" s="1">
        <f>HYPERLINK("https://lsnyc.legalserver.org/matter/dynamic-profile/view/1911971","19-1911971")</f>
        <v>0</v>
      </c>
      <c r="B272" t="s">
        <v>37</v>
      </c>
      <c r="C272" t="s">
        <v>57</v>
      </c>
      <c r="D272" t="s">
        <v>221</v>
      </c>
      <c r="E272" t="s">
        <v>731</v>
      </c>
      <c r="F272">
        <v>2091</v>
      </c>
      <c r="G272" t="s">
        <v>1014</v>
      </c>
      <c r="H272" t="s">
        <v>1317</v>
      </c>
      <c r="I272" t="s">
        <v>1363</v>
      </c>
      <c r="K272" t="s">
        <v>1436</v>
      </c>
      <c r="L272">
        <v>3</v>
      </c>
      <c r="M272">
        <v>1</v>
      </c>
      <c r="N272">
        <v>0</v>
      </c>
      <c r="P272">
        <v>29336</v>
      </c>
      <c r="Q272">
        <v>11234</v>
      </c>
      <c r="R272" t="s">
        <v>1447</v>
      </c>
      <c r="S272" t="s">
        <v>1454</v>
      </c>
      <c r="U272" t="s">
        <v>1475</v>
      </c>
      <c r="AC272">
        <v>0</v>
      </c>
      <c r="AD272">
        <v>0</v>
      </c>
      <c r="AF272">
        <v>0</v>
      </c>
      <c r="AG272">
        <v>0</v>
      </c>
      <c r="AH272">
        <v>0</v>
      </c>
      <c r="AI272">
        <v>0</v>
      </c>
    </row>
    <row r="273" spans="1:35">
      <c r="A273" s="1">
        <f>HYPERLINK("https://lsnyc.legalserver.org/matter/dynamic-profile/view/1912246","19-1912246")</f>
        <v>0</v>
      </c>
      <c r="B273" t="s">
        <v>38</v>
      </c>
      <c r="C273" t="s">
        <v>63</v>
      </c>
      <c r="D273" t="s">
        <v>301</v>
      </c>
      <c r="E273" t="s">
        <v>732</v>
      </c>
      <c r="F273">
        <v>2090</v>
      </c>
      <c r="G273" t="s">
        <v>1014</v>
      </c>
      <c r="H273" t="s">
        <v>1320</v>
      </c>
      <c r="K273" t="s">
        <v>1436</v>
      </c>
      <c r="L273">
        <v>2</v>
      </c>
      <c r="M273">
        <v>0</v>
      </c>
      <c r="N273">
        <v>0</v>
      </c>
      <c r="P273">
        <v>49512</v>
      </c>
      <c r="Q273">
        <v>10304</v>
      </c>
      <c r="R273" t="s">
        <v>1448</v>
      </c>
      <c r="S273" t="s">
        <v>1454</v>
      </c>
      <c r="U273" t="s">
        <v>1472</v>
      </c>
      <c r="Y273" t="s">
        <v>1502</v>
      </c>
      <c r="AA273" t="s">
        <v>1498</v>
      </c>
      <c r="AC273">
        <v>0</v>
      </c>
      <c r="AD273">
        <v>0</v>
      </c>
      <c r="AF273">
        <v>0</v>
      </c>
      <c r="AG273">
        <v>0</v>
      </c>
      <c r="AH273">
        <v>0</v>
      </c>
      <c r="AI273">
        <v>0</v>
      </c>
    </row>
    <row r="274" spans="1:35">
      <c r="A274" s="1">
        <f>HYPERLINK("https://lsnyc.legalserver.org/matter/dynamic-profile/view/1912312","19-1912312")</f>
        <v>0</v>
      </c>
      <c r="B274" t="s">
        <v>36</v>
      </c>
      <c r="C274" t="s">
        <v>51</v>
      </c>
      <c r="D274" t="s">
        <v>302</v>
      </c>
      <c r="E274" t="s">
        <v>733</v>
      </c>
      <c r="F274">
        <v>2093</v>
      </c>
      <c r="G274" t="s">
        <v>1014</v>
      </c>
      <c r="H274" t="s">
        <v>1308</v>
      </c>
      <c r="I274" t="s">
        <v>1336</v>
      </c>
      <c r="K274" t="s">
        <v>1436</v>
      </c>
      <c r="L274">
        <v>1</v>
      </c>
      <c r="M274">
        <v>3</v>
      </c>
      <c r="N274">
        <v>1</v>
      </c>
      <c r="O274" t="s">
        <v>1440</v>
      </c>
      <c r="P274">
        <v>34968</v>
      </c>
      <c r="Q274">
        <v>11433</v>
      </c>
      <c r="R274" t="s">
        <v>1446</v>
      </c>
      <c r="S274" t="s">
        <v>1458</v>
      </c>
      <c r="U274" t="s">
        <v>1470</v>
      </c>
      <c r="AC274">
        <v>0</v>
      </c>
      <c r="AD274">
        <v>0</v>
      </c>
      <c r="AF274">
        <v>0</v>
      </c>
      <c r="AG274">
        <v>0</v>
      </c>
      <c r="AH274">
        <v>0</v>
      </c>
      <c r="AI274">
        <v>0</v>
      </c>
    </row>
    <row r="275" spans="1:35">
      <c r="A275" s="1">
        <f>HYPERLINK("https://lsnyc.legalserver.org/matter/dynamic-profile/view/1912321","19-1912321")</f>
        <v>0</v>
      </c>
      <c r="B275" t="s">
        <v>38</v>
      </c>
      <c r="C275" t="s">
        <v>63</v>
      </c>
      <c r="D275" t="s">
        <v>190</v>
      </c>
      <c r="E275" t="s">
        <v>479</v>
      </c>
      <c r="F275">
        <v>2090</v>
      </c>
      <c r="G275" t="s">
        <v>1014</v>
      </c>
      <c r="H275" t="s">
        <v>1188</v>
      </c>
      <c r="K275" t="s">
        <v>1436</v>
      </c>
      <c r="L275">
        <v>7</v>
      </c>
      <c r="M275">
        <v>3</v>
      </c>
      <c r="N275">
        <v>0</v>
      </c>
      <c r="P275">
        <v>54600</v>
      </c>
      <c r="Q275">
        <v>10303</v>
      </c>
      <c r="R275" t="s">
        <v>1448</v>
      </c>
      <c r="U275" t="s">
        <v>1472</v>
      </c>
      <c r="Y275" t="s">
        <v>1502</v>
      </c>
      <c r="AC275">
        <v>0</v>
      </c>
      <c r="AD275">
        <v>0</v>
      </c>
      <c r="AF275">
        <v>0</v>
      </c>
      <c r="AG275">
        <v>0</v>
      </c>
      <c r="AH275">
        <v>0</v>
      </c>
      <c r="AI275">
        <v>0</v>
      </c>
    </row>
    <row r="276" spans="1:35">
      <c r="A276" s="1">
        <f>HYPERLINK("https://lsnyc.legalserver.org/matter/dynamic-profile/view/1912383","19-1912383")</f>
        <v>0</v>
      </c>
      <c r="B276" t="s">
        <v>36</v>
      </c>
      <c r="C276" t="s">
        <v>51</v>
      </c>
      <c r="D276" t="s">
        <v>303</v>
      </c>
      <c r="E276" t="s">
        <v>734</v>
      </c>
      <c r="F276">
        <v>2093</v>
      </c>
      <c r="G276" t="s">
        <v>1014</v>
      </c>
      <c r="H276" t="s">
        <v>1322</v>
      </c>
      <c r="I276" t="s">
        <v>1411</v>
      </c>
      <c r="K276" t="s">
        <v>1436</v>
      </c>
      <c r="L276">
        <v>2</v>
      </c>
      <c r="M276">
        <v>0</v>
      </c>
      <c r="N276">
        <v>1</v>
      </c>
      <c r="O276" t="s">
        <v>1440</v>
      </c>
      <c r="P276">
        <v>10872</v>
      </c>
      <c r="Q276">
        <v>11433</v>
      </c>
      <c r="R276" t="s">
        <v>1446</v>
      </c>
      <c r="S276" t="s">
        <v>1458</v>
      </c>
      <c r="U276" t="s">
        <v>1470</v>
      </c>
      <c r="AC276">
        <v>0</v>
      </c>
      <c r="AD276">
        <v>0</v>
      </c>
      <c r="AF276">
        <v>0</v>
      </c>
      <c r="AG276">
        <v>0</v>
      </c>
      <c r="AH276">
        <v>0</v>
      </c>
      <c r="AI276">
        <v>0</v>
      </c>
    </row>
    <row r="277" spans="1:35">
      <c r="A277" s="1">
        <f>HYPERLINK("https://lsnyc.legalserver.org/matter/dynamic-profile/view/1907158","19-1907158")</f>
        <v>0</v>
      </c>
      <c r="B277" t="s">
        <v>37</v>
      </c>
      <c r="C277" t="s">
        <v>42</v>
      </c>
      <c r="D277" t="s">
        <v>304</v>
      </c>
      <c r="E277" t="s">
        <v>643</v>
      </c>
      <c r="F277">
        <v>2091</v>
      </c>
      <c r="G277" t="s">
        <v>987</v>
      </c>
      <c r="H277" t="s">
        <v>1313</v>
      </c>
      <c r="I277" t="s">
        <v>1362</v>
      </c>
      <c r="K277" t="s">
        <v>1436</v>
      </c>
      <c r="L277">
        <v>1</v>
      </c>
      <c r="M277">
        <v>0</v>
      </c>
      <c r="N277">
        <v>1</v>
      </c>
      <c r="O277" t="s">
        <v>1440</v>
      </c>
      <c r="P277">
        <v>8400</v>
      </c>
      <c r="Q277">
        <v>11212</v>
      </c>
      <c r="R277" t="s">
        <v>1447</v>
      </c>
      <c r="S277" t="s">
        <v>1464</v>
      </c>
      <c r="T277" t="s">
        <v>1461</v>
      </c>
      <c r="U277" t="s">
        <v>1475</v>
      </c>
      <c r="AC277">
        <v>0</v>
      </c>
      <c r="AD277">
        <v>0</v>
      </c>
      <c r="AF277">
        <v>0</v>
      </c>
      <c r="AG277">
        <v>0</v>
      </c>
      <c r="AH277">
        <v>0</v>
      </c>
      <c r="AI277">
        <v>0</v>
      </c>
    </row>
    <row r="278" spans="1:35">
      <c r="A278" s="1">
        <f>HYPERLINK("https://lsnyc.legalserver.org/matter/dynamic-profile/view/1911792","19-1911792")</f>
        <v>0</v>
      </c>
      <c r="B278" t="s">
        <v>38</v>
      </c>
      <c r="C278" t="s">
        <v>63</v>
      </c>
      <c r="D278" t="s">
        <v>285</v>
      </c>
      <c r="E278" t="s">
        <v>735</v>
      </c>
      <c r="F278">
        <v>2090</v>
      </c>
      <c r="G278" t="s">
        <v>987</v>
      </c>
      <c r="H278" t="s">
        <v>1188</v>
      </c>
      <c r="I278" t="s">
        <v>1353</v>
      </c>
      <c r="K278" t="s">
        <v>1436</v>
      </c>
      <c r="L278">
        <v>2</v>
      </c>
      <c r="M278">
        <v>0</v>
      </c>
      <c r="N278">
        <v>0</v>
      </c>
      <c r="P278">
        <v>61490</v>
      </c>
      <c r="Q278">
        <v>10303</v>
      </c>
      <c r="R278" t="s">
        <v>1448</v>
      </c>
      <c r="S278" t="s">
        <v>1454</v>
      </c>
      <c r="U278" t="s">
        <v>1470</v>
      </c>
      <c r="Y278" t="s">
        <v>1498</v>
      </c>
      <c r="AC278">
        <v>0</v>
      </c>
      <c r="AD278">
        <v>0</v>
      </c>
      <c r="AF278">
        <v>0</v>
      </c>
      <c r="AG278">
        <v>0</v>
      </c>
      <c r="AH278">
        <v>0</v>
      </c>
      <c r="AI278">
        <v>0</v>
      </c>
    </row>
    <row r="279" spans="1:35">
      <c r="A279" s="1">
        <f>HYPERLINK("https://lsnyc.legalserver.org/matter/dynamic-profile/view/1912888","19-1912888")</f>
        <v>0</v>
      </c>
      <c r="B279" t="s">
        <v>36</v>
      </c>
      <c r="C279" t="s">
        <v>55</v>
      </c>
      <c r="D279" t="s">
        <v>305</v>
      </c>
      <c r="E279" t="s">
        <v>736</v>
      </c>
      <c r="F279">
        <v>2093</v>
      </c>
      <c r="G279" t="s">
        <v>1012</v>
      </c>
      <c r="H279" t="s">
        <v>1313</v>
      </c>
      <c r="K279" t="s">
        <v>1436</v>
      </c>
      <c r="L279">
        <v>2</v>
      </c>
      <c r="M279">
        <v>0</v>
      </c>
      <c r="N279">
        <v>1</v>
      </c>
      <c r="O279" t="s">
        <v>1440</v>
      </c>
      <c r="P279">
        <v>0</v>
      </c>
      <c r="Q279">
        <v>11691</v>
      </c>
      <c r="R279" t="s">
        <v>1446</v>
      </c>
      <c r="S279" t="s">
        <v>1452</v>
      </c>
      <c r="AC279">
        <v>0</v>
      </c>
      <c r="AD279">
        <v>0</v>
      </c>
      <c r="AF279">
        <v>0</v>
      </c>
      <c r="AG279">
        <v>0</v>
      </c>
      <c r="AH279">
        <v>0</v>
      </c>
      <c r="AI279">
        <v>0</v>
      </c>
    </row>
    <row r="280" spans="1:35">
      <c r="A280" s="1">
        <f>HYPERLINK("https://lsnyc.legalserver.org/matter/dynamic-profile/view/1912897","19-1912897")</f>
        <v>0</v>
      </c>
      <c r="B280" t="s">
        <v>38</v>
      </c>
      <c r="C280" t="s">
        <v>63</v>
      </c>
      <c r="D280" t="s">
        <v>306</v>
      </c>
      <c r="E280" t="s">
        <v>726</v>
      </c>
      <c r="F280">
        <v>2090</v>
      </c>
      <c r="G280" t="s">
        <v>1012</v>
      </c>
      <c r="H280" t="s">
        <v>1187</v>
      </c>
      <c r="K280" t="s">
        <v>1436</v>
      </c>
      <c r="L280">
        <v>1</v>
      </c>
      <c r="M280">
        <v>0</v>
      </c>
      <c r="N280">
        <v>0</v>
      </c>
      <c r="P280">
        <v>0</v>
      </c>
      <c r="Q280">
        <v>10301</v>
      </c>
      <c r="R280" t="s">
        <v>1448</v>
      </c>
      <c r="S280" t="s">
        <v>1466</v>
      </c>
      <c r="U280" t="s">
        <v>1475</v>
      </c>
      <c r="V280" t="s">
        <v>1476</v>
      </c>
      <c r="Y280" t="s">
        <v>1507</v>
      </c>
      <c r="AA280" t="s">
        <v>1498</v>
      </c>
      <c r="AC280">
        <v>0</v>
      </c>
      <c r="AD280">
        <v>0</v>
      </c>
      <c r="AF280">
        <v>0</v>
      </c>
      <c r="AG280">
        <v>0</v>
      </c>
      <c r="AH280">
        <v>0</v>
      </c>
      <c r="AI280">
        <v>0</v>
      </c>
    </row>
    <row r="281" spans="1:35">
      <c r="A281" s="1">
        <f>HYPERLINK("https://lsnyc.legalserver.org/matter/dynamic-profile/view/1912907","19-1912907")</f>
        <v>0</v>
      </c>
      <c r="B281" t="s">
        <v>36</v>
      </c>
      <c r="C281" t="s">
        <v>55</v>
      </c>
      <c r="D281" t="s">
        <v>307</v>
      </c>
      <c r="E281" t="s">
        <v>250</v>
      </c>
      <c r="F281">
        <v>2093</v>
      </c>
      <c r="G281" t="s">
        <v>1012</v>
      </c>
      <c r="H281" t="s">
        <v>1315</v>
      </c>
      <c r="K281" t="s">
        <v>1436</v>
      </c>
      <c r="L281">
        <v>3</v>
      </c>
      <c r="M281">
        <v>0</v>
      </c>
      <c r="N281">
        <v>0</v>
      </c>
      <c r="O281" t="s">
        <v>1440</v>
      </c>
      <c r="P281">
        <v>36000</v>
      </c>
      <c r="Q281">
        <v>11420</v>
      </c>
      <c r="R281" t="s">
        <v>1446</v>
      </c>
      <c r="S281" t="s">
        <v>1453</v>
      </c>
      <c r="AC281">
        <v>0</v>
      </c>
      <c r="AD281">
        <v>0</v>
      </c>
      <c r="AF281">
        <v>0</v>
      </c>
      <c r="AG281">
        <v>0</v>
      </c>
      <c r="AH281">
        <v>0</v>
      </c>
      <c r="AI281">
        <v>0</v>
      </c>
    </row>
    <row r="282" spans="1:35">
      <c r="A282" s="1">
        <f>HYPERLINK("https://lsnyc.legalserver.org/matter/dynamic-profile/view/1912927","19-1912927")</f>
        <v>0</v>
      </c>
      <c r="B282" t="s">
        <v>36</v>
      </c>
      <c r="C282" t="s">
        <v>55</v>
      </c>
      <c r="D282" t="s">
        <v>308</v>
      </c>
      <c r="E282" t="s">
        <v>737</v>
      </c>
      <c r="F282">
        <v>2093</v>
      </c>
      <c r="G282" t="s">
        <v>1012</v>
      </c>
      <c r="H282" t="s">
        <v>1308</v>
      </c>
      <c r="K282" t="s">
        <v>1436</v>
      </c>
      <c r="L282">
        <v>2</v>
      </c>
      <c r="M282">
        <v>0</v>
      </c>
      <c r="N282">
        <v>0</v>
      </c>
      <c r="P282">
        <v>48000</v>
      </c>
      <c r="Q282">
        <v>11413</v>
      </c>
      <c r="R282" t="s">
        <v>1446</v>
      </c>
      <c r="AC282">
        <v>0</v>
      </c>
      <c r="AD282">
        <v>0</v>
      </c>
      <c r="AF282">
        <v>0</v>
      </c>
      <c r="AG282">
        <v>0</v>
      </c>
      <c r="AH282">
        <v>0</v>
      </c>
      <c r="AI282">
        <v>0</v>
      </c>
    </row>
    <row r="283" spans="1:35">
      <c r="A283" s="1">
        <f>HYPERLINK("https://lsnyc.legalserver.org/matter/dynamic-profile/view/1912940","19-1912940")</f>
        <v>0</v>
      </c>
      <c r="B283" t="s">
        <v>38</v>
      </c>
      <c r="C283" t="s">
        <v>63</v>
      </c>
      <c r="D283" t="s">
        <v>309</v>
      </c>
      <c r="E283" t="s">
        <v>738</v>
      </c>
      <c r="F283">
        <v>2090</v>
      </c>
      <c r="G283" t="s">
        <v>1012</v>
      </c>
      <c r="H283" t="s">
        <v>1316</v>
      </c>
      <c r="K283" t="s">
        <v>1436</v>
      </c>
      <c r="L283">
        <v>3</v>
      </c>
      <c r="M283">
        <v>0</v>
      </c>
      <c r="N283">
        <v>0</v>
      </c>
      <c r="P283">
        <v>40344</v>
      </c>
      <c r="Q283">
        <v>10301</v>
      </c>
      <c r="R283" t="s">
        <v>1448</v>
      </c>
      <c r="S283" t="s">
        <v>1452</v>
      </c>
      <c r="U283" t="s">
        <v>1475</v>
      </c>
      <c r="AC283">
        <v>0</v>
      </c>
      <c r="AD283">
        <v>0</v>
      </c>
      <c r="AF283">
        <v>0</v>
      </c>
      <c r="AG283">
        <v>0</v>
      </c>
      <c r="AH283">
        <v>0</v>
      </c>
      <c r="AI283">
        <v>0</v>
      </c>
    </row>
    <row r="284" spans="1:35">
      <c r="A284" s="1">
        <f>HYPERLINK("https://lsnyc.legalserver.org/matter/dynamic-profile/view/1913074","19-1913074")</f>
        <v>0</v>
      </c>
      <c r="B284" t="s">
        <v>36</v>
      </c>
      <c r="C284" t="s">
        <v>40</v>
      </c>
      <c r="D284" t="s">
        <v>145</v>
      </c>
      <c r="E284" t="s">
        <v>739</v>
      </c>
      <c r="F284">
        <v>2093</v>
      </c>
      <c r="G284" t="s">
        <v>1173</v>
      </c>
      <c r="H284" t="s">
        <v>1315</v>
      </c>
      <c r="K284" t="s">
        <v>1436</v>
      </c>
      <c r="L284">
        <v>2</v>
      </c>
      <c r="M284">
        <v>0</v>
      </c>
      <c r="N284">
        <v>0</v>
      </c>
      <c r="P284">
        <v>39000</v>
      </c>
      <c r="Q284">
        <v>11436</v>
      </c>
      <c r="R284" t="s">
        <v>1446</v>
      </c>
      <c r="AC284">
        <v>0</v>
      </c>
      <c r="AD284">
        <v>0</v>
      </c>
      <c r="AF284">
        <v>0</v>
      </c>
      <c r="AG284">
        <v>0</v>
      </c>
      <c r="AH284">
        <v>0</v>
      </c>
      <c r="AI284">
        <v>0</v>
      </c>
    </row>
    <row r="285" spans="1:35">
      <c r="A285" s="1">
        <f>HYPERLINK("https://lsnyc.legalserver.org/matter/dynamic-profile/view/1912816","19-1912816")</f>
        <v>0</v>
      </c>
      <c r="B285" t="s">
        <v>37</v>
      </c>
      <c r="C285" t="s">
        <v>54</v>
      </c>
      <c r="D285" t="s">
        <v>310</v>
      </c>
      <c r="E285" t="s">
        <v>569</v>
      </c>
      <c r="F285">
        <v>2091</v>
      </c>
      <c r="G285" t="s">
        <v>1174</v>
      </c>
      <c r="H285" t="s">
        <v>1316</v>
      </c>
      <c r="I285" t="s">
        <v>1345</v>
      </c>
      <c r="K285" t="s">
        <v>1436</v>
      </c>
      <c r="L285">
        <v>2</v>
      </c>
      <c r="M285">
        <v>0</v>
      </c>
      <c r="N285">
        <v>1</v>
      </c>
      <c r="O285" t="s">
        <v>1442</v>
      </c>
      <c r="P285">
        <v>104200</v>
      </c>
      <c r="Q285">
        <v>11206</v>
      </c>
      <c r="R285" t="s">
        <v>1447</v>
      </c>
      <c r="S285" t="s">
        <v>1465</v>
      </c>
      <c r="U285" t="s">
        <v>1475</v>
      </c>
      <c r="AC285">
        <v>0</v>
      </c>
      <c r="AD285">
        <v>0</v>
      </c>
      <c r="AF285">
        <v>0</v>
      </c>
      <c r="AG285">
        <v>0</v>
      </c>
      <c r="AH285">
        <v>0</v>
      </c>
      <c r="AI285">
        <v>0</v>
      </c>
    </row>
    <row r="286" spans="1:35">
      <c r="A286" s="1">
        <f>HYPERLINK("https://lsnyc.legalserver.org/matter/dynamic-profile/view/1912971","19-1912971")</f>
        <v>0</v>
      </c>
      <c r="B286" t="s">
        <v>37</v>
      </c>
      <c r="C286" t="s">
        <v>57</v>
      </c>
      <c r="D286" t="s">
        <v>146</v>
      </c>
      <c r="E286" t="s">
        <v>740</v>
      </c>
      <c r="F286">
        <v>2091</v>
      </c>
      <c r="G286" t="s">
        <v>1007</v>
      </c>
      <c r="H286" t="s">
        <v>1315</v>
      </c>
      <c r="I286" t="s">
        <v>1335</v>
      </c>
      <c r="J286" t="s">
        <v>1335</v>
      </c>
      <c r="K286" t="s">
        <v>1436</v>
      </c>
      <c r="L286">
        <v>2</v>
      </c>
      <c r="M286">
        <v>1</v>
      </c>
      <c r="N286">
        <v>0</v>
      </c>
      <c r="P286">
        <v>35904</v>
      </c>
      <c r="Q286">
        <v>11226</v>
      </c>
      <c r="R286" t="s">
        <v>1447</v>
      </c>
      <c r="S286" t="s">
        <v>1459</v>
      </c>
      <c r="U286" t="s">
        <v>1472</v>
      </c>
      <c r="V286" t="s">
        <v>1475</v>
      </c>
      <c r="Y286" t="s">
        <v>1502</v>
      </c>
      <c r="AA286" t="s">
        <v>1498</v>
      </c>
      <c r="AC286">
        <v>0</v>
      </c>
      <c r="AD286">
        <v>0</v>
      </c>
      <c r="AF286">
        <v>0</v>
      </c>
      <c r="AG286">
        <v>0</v>
      </c>
      <c r="AH286">
        <v>0</v>
      </c>
      <c r="AI286">
        <v>0</v>
      </c>
    </row>
    <row r="287" spans="1:35">
      <c r="A287" s="1">
        <f>HYPERLINK("https://lsnyc.legalserver.org/matter/dynamic-profile/view/1913145","19-1913145")</f>
        <v>0</v>
      </c>
      <c r="B287" t="s">
        <v>37</v>
      </c>
      <c r="C287" t="s">
        <v>50</v>
      </c>
      <c r="D287" t="s">
        <v>311</v>
      </c>
      <c r="E287" t="s">
        <v>573</v>
      </c>
      <c r="F287">
        <v>2091</v>
      </c>
      <c r="G287" t="s">
        <v>1007</v>
      </c>
      <c r="H287" t="s">
        <v>1313</v>
      </c>
      <c r="K287" t="s">
        <v>1436</v>
      </c>
      <c r="L287">
        <v>2</v>
      </c>
      <c r="M287">
        <v>0</v>
      </c>
      <c r="N287">
        <v>1</v>
      </c>
      <c r="O287" t="s">
        <v>1440</v>
      </c>
      <c r="P287">
        <v>69400</v>
      </c>
      <c r="Q287">
        <v>11233</v>
      </c>
      <c r="R287" t="s">
        <v>1447</v>
      </c>
      <c r="S287" t="s">
        <v>1453</v>
      </c>
      <c r="U287" t="s">
        <v>1484</v>
      </c>
      <c r="V287" t="s">
        <v>1470</v>
      </c>
      <c r="Y287" t="s">
        <v>1507</v>
      </c>
      <c r="AA287" t="s">
        <v>1498</v>
      </c>
      <c r="AC287">
        <v>0</v>
      </c>
      <c r="AD287">
        <v>0</v>
      </c>
      <c r="AF287">
        <v>0</v>
      </c>
      <c r="AG287">
        <v>0</v>
      </c>
      <c r="AH287">
        <v>0</v>
      </c>
      <c r="AI287">
        <v>0</v>
      </c>
    </row>
    <row r="288" spans="1:35">
      <c r="A288" s="1">
        <f>HYPERLINK("https://lsnyc.legalserver.org/matter/dynamic-profile/view/1913323","19-1913323")</f>
        <v>0</v>
      </c>
      <c r="B288" t="s">
        <v>35</v>
      </c>
      <c r="C288" t="s">
        <v>39</v>
      </c>
      <c r="D288" t="s">
        <v>312</v>
      </c>
      <c r="E288" t="s">
        <v>741</v>
      </c>
      <c r="F288">
        <v>2094</v>
      </c>
      <c r="G288" t="s">
        <v>1007</v>
      </c>
      <c r="H288" t="s">
        <v>1313</v>
      </c>
      <c r="I288" t="s">
        <v>1342</v>
      </c>
      <c r="K288" t="s">
        <v>1436</v>
      </c>
      <c r="L288">
        <v>1</v>
      </c>
      <c r="M288">
        <v>0</v>
      </c>
      <c r="N288">
        <v>1</v>
      </c>
      <c r="O288" t="s">
        <v>1442</v>
      </c>
      <c r="P288">
        <v>27984</v>
      </c>
      <c r="Q288">
        <v>10472</v>
      </c>
      <c r="R288" t="s">
        <v>1445</v>
      </c>
      <c r="S288" t="s">
        <v>1453</v>
      </c>
      <c r="T288" t="s">
        <v>1463</v>
      </c>
      <c r="U288" t="s">
        <v>1475</v>
      </c>
      <c r="Y288" t="s">
        <v>1498</v>
      </c>
      <c r="AC288">
        <v>0</v>
      </c>
      <c r="AD288">
        <v>0</v>
      </c>
      <c r="AF288">
        <v>0</v>
      </c>
      <c r="AG288">
        <v>0</v>
      </c>
      <c r="AH288">
        <v>0</v>
      </c>
      <c r="AI288">
        <v>0</v>
      </c>
    </row>
    <row r="289" spans="1:35">
      <c r="A289" s="1">
        <f>HYPERLINK("https://lsnyc.legalserver.org/matter/dynamic-profile/view/1913641","19-1913641")</f>
        <v>0</v>
      </c>
      <c r="B289" t="s">
        <v>35</v>
      </c>
      <c r="C289" t="s">
        <v>46</v>
      </c>
      <c r="D289" t="s">
        <v>278</v>
      </c>
      <c r="E289" t="s">
        <v>707</v>
      </c>
      <c r="F289">
        <v>2094</v>
      </c>
      <c r="G289" t="s">
        <v>1175</v>
      </c>
      <c r="H289" t="s">
        <v>1188</v>
      </c>
      <c r="K289" t="s">
        <v>1436</v>
      </c>
      <c r="L289">
        <v>1</v>
      </c>
      <c r="M289">
        <v>0</v>
      </c>
      <c r="N289">
        <v>0</v>
      </c>
      <c r="P289">
        <v>30000</v>
      </c>
      <c r="Q289">
        <v>10470</v>
      </c>
      <c r="R289" t="s">
        <v>1445</v>
      </c>
      <c r="U289" t="s">
        <v>1478</v>
      </c>
      <c r="AC289">
        <v>0</v>
      </c>
      <c r="AD289">
        <v>0</v>
      </c>
      <c r="AF289">
        <v>0</v>
      </c>
      <c r="AG289">
        <v>0</v>
      </c>
      <c r="AH289">
        <v>0</v>
      </c>
      <c r="AI289">
        <v>0</v>
      </c>
    </row>
    <row r="290" spans="1:35">
      <c r="A290" s="1">
        <f>HYPERLINK("https://lsnyc.legalserver.org/matter/dynamic-profile/view/1913260","19-1913260")</f>
        <v>0</v>
      </c>
      <c r="B290" t="s">
        <v>37</v>
      </c>
      <c r="C290" t="s">
        <v>57</v>
      </c>
      <c r="D290" t="s">
        <v>313</v>
      </c>
      <c r="E290" t="s">
        <v>742</v>
      </c>
      <c r="F290">
        <v>2091</v>
      </c>
      <c r="G290" t="s">
        <v>1025</v>
      </c>
      <c r="H290" t="s">
        <v>1259</v>
      </c>
      <c r="I290" t="s">
        <v>1336</v>
      </c>
      <c r="K290" t="s">
        <v>1436</v>
      </c>
      <c r="L290">
        <v>4</v>
      </c>
      <c r="M290">
        <v>1</v>
      </c>
      <c r="N290">
        <v>0</v>
      </c>
      <c r="O290" t="s">
        <v>1440</v>
      </c>
      <c r="P290">
        <v>51600</v>
      </c>
      <c r="Q290">
        <v>11210</v>
      </c>
      <c r="R290" t="s">
        <v>1447</v>
      </c>
      <c r="S290" t="s">
        <v>1466</v>
      </c>
      <c r="U290" t="s">
        <v>1475</v>
      </c>
      <c r="AC290">
        <v>0</v>
      </c>
      <c r="AD290">
        <v>0</v>
      </c>
      <c r="AF290">
        <v>0</v>
      </c>
      <c r="AG290">
        <v>0</v>
      </c>
      <c r="AH290">
        <v>0</v>
      </c>
      <c r="AI290">
        <v>0</v>
      </c>
    </row>
    <row r="291" spans="1:35">
      <c r="A291" s="1">
        <f>HYPERLINK("https://lsnyc.legalserver.org/matter/dynamic-profile/view/1913851","19-1913851")</f>
        <v>0</v>
      </c>
      <c r="B291" t="s">
        <v>35</v>
      </c>
      <c r="C291" t="s">
        <v>39</v>
      </c>
      <c r="D291" t="s">
        <v>314</v>
      </c>
      <c r="E291" t="s">
        <v>743</v>
      </c>
      <c r="F291">
        <v>2094</v>
      </c>
      <c r="G291" t="s">
        <v>1176</v>
      </c>
      <c r="H291" t="s">
        <v>1313</v>
      </c>
      <c r="I291" t="s">
        <v>1369</v>
      </c>
      <c r="J291" t="s">
        <v>1431</v>
      </c>
      <c r="K291" t="s">
        <v>1436</v>
      </c>
      <c r="L291">
        <v>3</v>
      </c>
      <c r="M291">
        <v>0</v>
      </c>
      <c r="N291">
        <v>0</v>
      </c>
      <c r="O291" t="s">
        <v>1441</v>
      </c>
      <c r="P291">
        <v>45120</v>
      </c>
      <c r="Q291">
        <v>10466</v>
      </c>
      <c r="R291" t="s">
        <v>1445</v>
      </c>
      <c r="S291" t="s">
        <v>1465</v>
      </c>
      <c r="U291" t="s">
        <v>1475</v>
      </c>
      <c r="Y291" t="s">
        <v>1498</v>
      </c>
      <c r="AC291">
        <v>0</v>
      </c>
      <c r="AD291">
        <v>0</v>
      </c>
      <c r="AF291">
        <v>0</v>
      </c>
      <c r="AG291">
        <v>0</v>
      </c>
      <c r="AH291">
        <v>0</v>
      </c>
      <c r="AI291">
        <v>0</v>
      </c>
    </row>
    <row r="292" spans="1:35">
      <c r="A292" s="1">
        <f>HYPERLINK("https://lsnyc.legalserver.org/matter/dynamic-profile/view/1913876","19-1913876")</f>
        <v>0</v>
      </c>
      <c r="B292" t="s">
        <v>35</v>
      </c>
      <c r="C292" t="s">
        <v>39</v>
      </c>
      <c r="D292" t="s">
        <v>220</v>
      </c>
      <c r="E292" t="s">
        <v>575</v>
      </c>
      <c r="F292">
        <v>2094</v>
      </c>
      <c r="G292" t="s">
        <v>1176</v>
      </c>
      <c r="H292" t="s">
        <v>1313</v>
      </c>
      <c r="I292" t="s">
        <v>1412</v>
      </c>
      <c r="K292" t="s">
        <v>1436</v>
      </c>
      <c r="L292">
        <v>1</v>
      </c>
      <c r="M292">
        <v>0</v>
      </c>
      <c r="N292">
        <v>0</v>
      </c>
      <c r="O292" t="s">
        <v>1441</v>
      </c>
      <c r="P292">
        <v>25168</v>
      </c>
      <c r="Q292">
        <v>10466</v>
      </c>
      <c r="R292" t="s">
        <v>1445</v>
      </c>
      <c r="S292" t="s">
        <v>1453</v>
      </c>
      <c r="U292" t="s">
        <v>1475</v>
      </c>
      <c r="Y292" t="s">
        <v>1498</v>
      </c>
      <c r="AC292">
        <v>0</v>
      </c>
      <c r="AD292">
        <v>0</v>
      </c>
      <c r="AF292">
        <v>0</v>
      </c>
      <c r="AG292">
        <v>0</v>
      </c>
      <c r="AH292">
        <v>0</v>
      </c>
      <c r="AI292">
        <v>0</v>
      </c>
    </row>
    <row r="293" spans="1:35">
      <c r="A293" s="1">
        <f>HYPERLINK("https://lsnyc.legalserver.org/matter/dynamic-profile/view/1913887","19-1913887")</f>
        <v>0</v>
      </c>
      <c r="B293" t="s">
        <v>35</v>
      </c>
      <c r="C293" t="s">
        <v>39</v>
      </c>
      <c r="D293" t="s">
        <v>222</v>
      </c>
      <c r="E293" t="s">
        <v>744</v>
      </c>
      <c r="F293">
        <v>2094</v>
      </c>
      <c r="G293" t="s">
        <v>1176</v>
      </c>
      <c r="H293" t="s">
        <v>1313</v>
      </c>
      <c r="I293" t="s">
        <v>1329</v>
      </c>
      <c r="K293" t="s">
        <v>1436</v>
      </c>
      <c r="L293">
        <v>2</v>
      </c>
      <c r="M293">
        <v>0</v>
      </c>
      <c r="N293">
        <v>0</v>
      </c>
      <c r="O293" t="s">
        <v>1440</v>
      </c>
      <c r="P293">
        <v>72000</v>
      </c>
      <c r="Q293">
        <v>10467</v>
      </c>
      <c r="R293" t="s">
        <v>1445</v>
      </c>
      <c r="S293" t="s">
        <v>1453</v>
      </c>
      <c r="U293" t="s">
        <v>1475</v>
      </c>
      <c r="AC293">
        <v>0</v>
      </c>
      <c r="AD293">
        <v>0</v>
      </c>
      <c r="AF293">
        <v>0</v>
      </c>
      <c r="AG293">
        <v>0</v>
      </c>
      <c r="AH293">
        <v>0</v>
      </c>
      <c r="AI293">
        <v>0</v>
      </c>
    </row>
    <row r="294" spans="1:35">
      <c r="A294" s="1">
        <f>HYPERLINK("https://lsnyc.legalserver.org/matter/dynamic-profile/view/1913923","19-1913923")</f>
        <v>0</v>
      </c>
      <c r="B294" t="s">
        <v>37</v>
      </c>
      <c r="C294" t="s">
        <v>58</v>
      </c>
      <c r="D294" t="s">
        <v>71</v>
      </c>
      <c r="E294" t="s">
        <v>745</v>
      </c>
      <c r="F294">
        <v>2091</v>
      </c>
      <c r="G294" t="s">
        <v>1177</v>
      </c>
      <c r="H294" t="s">
        <v>1322</v>
      </c>
      <c r="K294" t="s">
        <v>1436</v>
      </c>
      <c r="L294">
        <v>1</v>
      </c>
      <c r="M294">
        <v>0</v>
      </c>
      <c r="N294">
        <v>0</v>
      </c>
      <c r="P294">
        <v>38784</v>
      </c>
      <c r="Q294">
        <v>10029</v>
      </c>
      <c r="R294" t="s">
        <v>1449</v>
      </c>
      <c r="S294" t="s">
        <v>1459</v>
      </c>
      <c r="U294" t="s">
        <v>1480</v>
      </c>
      <c r="Y294" t="s">
        <v>1516</v>
      </c>
      <c r="AC294">
        <v>0</v>
      </c>
      <c r="AD294">
        <v>0</v>
      </c>
      <c r="AF294">
        <v>0</v>
      </c>
      <c r="AG294">
        <v>0</v>
      </c>
      <c r="AH294">
        <v>0</v>
      </c>
      <c r="AI294">
        <v>0</v>
      </c>
    </row>
    <row r="295" spans="1:35">
      <c r="A295" s="1">
        <f>HYPERLINK("https://lsnyc.legalserver.org/matter/dynamic-profile/view/1913951","19-1913951")</f>
        <v>0</v>
      </c>
      <c r="B295" t="s">
        <v>37</v>
      </c>
      <c r="C295" t="s">
        <v>58</v>
      </c>
      <c r="D295" t="s">
        <v>315</v>
      </c>
      <c r="E295" t="s">
        <v>565</v>
      </c>
      <c r="F295">
        <v>2091</v>
      </c>
      <c r="G295" t="s">
        <v>1177</v>
      </c>
      <c r="H295" t="s">
        <v>1322</v>
      </c>
      <c r="K295" t="s">
        <v>1436</v>
      </c>
      <c r="L295">
        <v>1</v>
      </c>
      <c r="M295">
        <v>0</v>
      </c>
      <c r="N295">
        <v>0</v>
      </c>
      <c r="P295">
        <v>10800</v>
      </c>
      <c r="Q295">
        <v>11233</v>
      </c>
      <c r="R295" t="s">
        <v>1447</v>
      </c>
      <c r="S295" t="s">
        <v>1459</v>
      </c>
      <c r="U295" t="s">
        <v>1480</v>
      </c>
      <c r="Y295" t="s">
        <v>1516</v>
      </c>
      <c r="AC295">
        <v>0</v>
      </c>
      <c r="AD295">
        <v>0</v>
      </c>
      <c r="AF295">
        <v>0</v>
      </c>
      <c r="AG295">
        <v>0</v>
      </c>
      <c r="AH295">
        <v>0</v>
      </c>
      <c r="AI295">
        <v>0</v>
      </c>
    </row>
    <row r="296" spans="1:35">
      <c r="A296" s="1">
        <f>HYPERLINK("https://lsnyc.legalserver.org/matter/dynamic-profile/view/1913969","19-1913969")</f>
        <v>0</v>
      </c>
      <c r="B296" t="s">
        <v>37</v>
      </c>
      <c r="C296" t="s">
        <v>58</v>
      </c>
      <c r="D296" t="s">
        <v>316</v>
      </c>
      <c r="E296" t="s">
        <v>746</v>
      </c>
      <c r="F296">
        <v>2091</v>
      </c>
      <c r="G296" t="s">
        <v>1177</v>
      </c>
      <c r="H296" t="s">
        <v>1184</v>
      </c>
      <c r="K296" t="s">
        <v>1436</v>
      </c>
      <c r="L296">
        <v>1</v>
      </c>
      <c r="M296">
        <v>0</v>
      </c>
      <c r="N296">
        <v>0</v>
      </c>
      <c r="P296">
        <v>20000</v>
      </c>
      <c r="Q296">
        <v>11234</v>
      </c>
      <c r="R296" t="s">
        <v>1447</v>
      </c>
      <c r="S296" t="s">
        <v>1459</v>
      </c>
      <c r="U296" t="s">
        <v>1480</v>
      </c>
      <c r="Y296" t="s">
        <v>1516</v>
      </c>
      <c r="AC296">
        <v>0</v>
      </c>
      <c r="AD296">
        <v>0</v>
      </c>
      <c r="AF296">
        <v>0</v>
      </c>
      <c r="AG296">
        <v>0</v>
      </c>
      <c r="AH296">
        <v>0</v>
      </c>
      <c r="AI296">
        <v>0</v>
      </c>
    </row>
    <row r="297" spans="1:35">
      <c r="A297" s="1">
        <f>HYPERLINK("https://lsnyc.legalserver.org/matter/dynamic-profile/view/1913971","19-1913971")</f>
        <v>0</v>
      </c>
      <c r="B297" t="s">
        <v>37</v>
      </c>
      <c r="C297" t="s">
        <v>58</v>
      </c>
      <c r="D297" t="s">
        <v>317</v>
      </c>
      <c r="E297" t="s">
        <v>746</v>
      </c>
      <c r="F297">
        <v>2091</v>
      </c>
      <c r="G297" t="s">
        <v>1177</v>
      </c>
      <c r="H297" t="s">
        <v>1259</v>
      </c>
      <c r="K297" t="s">
        <v>1436</v>
      </c>
      <c r="L297">
        <v>1</v>
      </c>
      <c r="M297">
        <v>0</v>
      </c>
      <c r="N297">
        <v>0</v>
      </c>
      <c r="P297">
        <v>19608</v>
      </c>
      <c r="Q297">
        <v>10463</v>
      </c>
      <c r="R297" t="s">
        <v>1445</v>
      </c>
      <c r="S297" t="s">
        <v>1459</v>
      </c>
      <c r="U297" t="s">
        <v>1480</v>
      </c>
      <c r="Y297" t="s">
        <v>1516</v>
      </c>
      <c r="AC297">
        <v>0</v>
      </c>
      <c r="AD297">
        <v>0</v>
      </c>
      <c r="AF297">
        <v>0</v>
      </c>
      <c r="AG297">
        <v>0</v>
      </c>
      <c r="AH297">
        <v>0</v>
      </c>
      <c r="AI297">
        <v>0</v>
      </c>
    </row>
    <row r="298" spans="1:35">
      <c r="A298" s="1">
        <f>HYPERLINK("https://lsnyc.legalserver.org/matter/dynamic-profile/view/1913972","19-1913972")</f>
        <v>0</v>
      </c>
      <c r="B298" t="s">
        <v>37</v>
      </c>
      <c r="C298" t="s">
        <v>58</v>
      </c>
      <c r="D298" t="s">
        <v>318</v>
      </c>
      <c r="E298" t="s">
        <v>747</v>
      </c>
      <c r="F298">
        <v>2091</v>
      </c>
      <c r="G298" t="s">
        <v>1177</v>
      </c>
      <c r="H298" t="s">
        <v>1322</v>
      </c>
      <c r="I298" t="s">
        <v>1373</v>
      </c>
      <c r="K298" t="s">
        <v>1436</v>
      </c>
      <c r="L298">
        <v>3</v>
      </c>
      <c r="M298">
        <v>0</v>
      </c>
      <c r="N298">
        <v>0</v>
      </c>
      <c r="P298">
        <v>37548</v>
      </c>
      <c r="Q298">
        <v>11236</v>
      </c>
      <c r="R298" t="s">
        <v>1447</v>
      </c>
      <c r="S298" t="s">
        <v>1459</v>
      </c>
      <c r="U298" t="s">
        <v>1480</v>
      </c>
      <c r="Y298" t="s">
        <v>1516</v>
      </c>
      <c r="AC298">
        <v>0</v>
      </c>
      <c r="AD298">
        <v>0</v>
      </c>
      <c r="AF298">
        <v>0</v>
      </c>
      <c r="AG298">
        <v>0</v>
      </c>
      <c r="AH298">
        <v>0</v>
      </c>
      <c r="AI298">
        <v>0</v>
      </c>
    </row>
    <row r="299" spans="1:35">
      <c r="A299" s="1">
        <f>HYPERLINK("https://lsnyc.legalserver.org/matter/dynamic-profile/view/1913503","19-1913503")</f>
        <v>0</v>
      </c>
      <c r="B299" t="s">
        <v>37</v>
      </c>
      <c r="C299" t="s">
        <v>42</v>
      </c>
      <c r="D299" t="s">
        <v>319</v>
      </c>
      <c r="E299" t="s">
        <v>748</v>
      </c>
      <c r="F299">
        <v>2091</v>
      </c>
      <c r="G299" t="s">
        <v>1019</v>
      </c>
      <c r="H299" t="s">
        <v>1317</v>
      </c>
      <c r="K299" t="s">
        <v>1436</v>
      </c>
      <c r="L299">
        <v>2</v>
      </c>
      <c r="M299">
        <v>0</v>
      </c>
      <c r="N299">
        <v>0</v>
      </c>
      <c r="O299" t="s">
        <v>1441</v>
      </c>
      <c r="P299">
        <v>70000</v>
      </c>
      <c r="Q299">
        <v>11233</v>
      </c>
      <c r="R299" t="s">
        <v>1447</v>
      </c>
      <c r="S299" t="s">
        <v>1456</v>
      </c>
      <c r="U299" t="s">
        <v>1475</v>
      </c>
      <c r="AC299">
        <v>0</v>
      </c>
      <c r="AD299">
        <v>0</v>
      </c>
      <c r="AF299">
        <v>0</v>
      </c>
      <c r="AG299">
        <v>0</v>
      </c>
      <c r="AH299">
        <v>0</v>
      </c>
      <c r="AI299">
        <v>0</v>
      </c>
    </row>
    <row r="300" spans="1:35">
      <c r="A300" s="1">
        <f>HYPERLINK("https://lsnyc.legalserver.org/matter/dynamic-profile/view/1914119","19-1914119")</f>
        <v>0</v>
      </c>
      <c r="B300" t="s">
        <v>37</v>
      </c>
      <c r="C300" t="s">
        <v>54</v>
      </c>
      <c r="D300" t="s">
        <v>320</v>
      </c>
      <c r="E300" t="s">
        <v>160</v>
      </c>
      <c r="F300">
        <v>2091</v>
      </c>
      <c r="G300" t="s">
        <v>1019</v>
      </c>
      <c r="H300" t="s">
        <v>1313</v>
      </c>
      <c r="I300" t="s">
        <v>1413</v>
      </c>
      <c r="K300" t="s">
        <v>1436</v>
      </c>
      <c r="L300">
        <v>3</v>
      </c>
      <c r="M300">
        <v>0</v>
      </c>
      <c r="N300">
        <v>0</v>
      </c>
      <c r="O300" t="s">
        <v>1441</v>
      </c>
      <c r="P300">
        <v>52944</v>
      </c>
      <c r="Q300">
        <v>11233</v>
      </c>
      <c r="R300" t="s">
        <v>1447</v>
      </c>
      <c r="S300" t="s">
        <v>1465</v>
      </c>
      <c r="U300" t="s">
        <v>1475</v>
      </c>
      <c r="AC300">
        <v>0</v>
      </c>
      <c r="AD300">
        <v>0</v>
      </c>
      <c r="AF300">
        <v>0</v>
      </c>
      <c r="AG300">
        <v>0</v>
      </c>
      <c r="AH300">
        <v>0</v>
      </c>
      <c r="AI300">
        <v>0</v>
      </c>
    </row>
    <row r="301" spans="1:35">
      <c r="A301" s="1">
        <f>HYPERLINK("https://lsnyc.legalserver.org/matter/dynamic-profile/view/1914369","19-1914369")</f>
        <v>0</v>
      </c>
      <c r="B301" t="s">
        <v>35</v>
      </c>
      <c r="C301" t="s">
        <v>39</v>
      </c>
      <c r="D301" t="s">
        <v>87</v>
      </c>
      <c r="E301" t="s">
        <v>749</v>
      </c>
      <c r="F301">
        <v>2094</v>
      </c>
      <c r="G301" t="s">
        <v>1178</v>
      </c>
      <c r="H301" t="s">
        <v>1187</v>
      </c>
      <c r="I301" t="s">
        <v>1398</v>
      </c>
      <c r="K301" t="s">
        <v>1436</v>
      </c>
      <c r="L301">
        <v>3</v>
      </c>
      <c r="M301">
        <v>0</v>
      </c>
      <c r="N301">
        <v>0</v>
      </c>
      <c r="O301" t="s">
        <v>1442</v>
      </c>
      <c r="P301">
        <v>150336</v>
      </c>
      <c r="Q301">
        <v>10467</v>
      </c>
      <c r="R301" t="s">
        <v>1445</v>
      </c>
      <c r="S301" t="s">
        <v>1454</v>
      </c>
      <c r="U301" t="s">
        <v>1475</v>
      </c>
      <c r="Y301" t="s">
        <v>1498</v>
      </c>
      <c r="AC301">
        <v>0</v>
      </c>
      <c r="AD301">
        <v>0</v>
      </c>
      <c r="AF301">
        <v>0</v>
      </c>
      <c r="AG301">
        <v>0</v>
      </c>
      <c r="AH301">
        <v>0</v>
      </c>
      <c r="AI301">
        <v>0</v>
      </c>
    </row>
    <row r="302" spans="1:35">
      <c r="A302" s="1">
        <f>HYPERLINK("https://lsnyc.legalserver.org/matter/dynamic-profile/view/1914415","19-1914415")</f>
        <v>0</v>
      </c>
      <c r="B302" t="s">
        <v>35</v>
      </c>
      <c r="C302" t="s">
        <v>39</v>
      </c>
      <c r="D302" t="s">
        <v>203</v>
      </c>
      <c r="E302" t="s">
        <v>750</v>
      </c>
      <c r="F302">
        <v>2094</v>
      </c>
      <c r="G302" t="s">
        <v>1178</v>
      </c>
      <c r="H302" t="s">
        <v>1313</v>
      </c>
      <c r="I302" t="s">
        <v>1362</v>
      </c>
      <c r="K302" t="s">
        <v>1436</v>
      </c>
      <c r="L302">
        <v>4</v>
      </c>
      <c r="M302">
        <v>0</v>
      </c>
      <c r="N302">
        <v>0</v>
      </c>
      <c r="O302" t="s">
        <v>1439</v>
      </c>
      <c r="P302">
        <v>162000</v>
      </c>
      <c r="Q302">
        <v>10462</v>
      </c>
      <c r="R302" t="s">
        <v>1445</v>
      </c>
      <c r="S302" t="s">
        <v>1460</v>
      </c>
      <c r="U302" t="s">
        <v>1474</v>
      </c>
      <c r="V302" t="s">
        <v>1470</v>
      </c>
      <c r="Y302" t="s">
        <v>1498</v>
      </c>
      <c r="AC302">
        <v>0</v>
      </c>
      <c r="AD302">
        <v>0</v>
      </c>
      <c r="AF302">
        <v>0</v>
      </c>
      <c r="AG302">
        <v>0</v>
      </c>
      <c r="AH302">
        <v>0</v>
      </c>
      <c r="AI302">
        <v>0</v>
      </c>
    </row>
    <row r="303" spans="1:35">
      <c r="A303" s="1">
        <f>HYPERLINK("https://lsnyc.legalserver.org/matter/dynamic-profile/view/1914425","19-1914425")</f>
        <v>0</v>
      </c>
      <c r="B303" t="s">
        <v>35</v>
      </c>
      <c r="C303" t="s">
        <v>39</v>
      </c>
      <c r="D303" t="s">
        <v>321</v>
      </c>
      <c r="E303" t="s">
        <v>251</v>
      </c>
      <c r="F303">
        <v>2094</v>
      </c>
      <c r="G303" t="s">
        <v>1178</v>
      </c>
      <c r="H303" t="s">
        <v>1313</v>
      </c>
      <c r="I303" t="s">
        <v>1414</v>
      </c>
      <c r="K303" t="s">
        <v>1436</v>
      </c>
      <c r="L303">
        <v>2</v>
      </c>
      <c r="M303">
        <v>1</v>
      </c>
      <c r="N303">
        <v>0</v>
      </c>
      <c r="O303" t="s">
        <v>1440</v>
      </c>
      <c r="P303">
        <v>40460</v>
      </c>
      <c r="Q303">
        <v>10456</v>
      </c>
      <c r="R303" t="s">
        <v>1445</v>
      </c>
      <c r="S303" t="s">
        <v>1453</v>
      </c>
      <c r="U303" t="s">
        <v>1470</v>
      </c>
      <c r="Y303" t="s">
        <v>1498</v>
      </c>
      <c r="AC303">
        <v>0</v>
      </c>
      <c r="AD303">
        <v>0</v>
      </c>
      <c r="AF303">
        <v>0</v>
      </c>
      <c r="AG303">
        <v>0</v>
      </c>
      <c r="AH303">
        <v>0</v>
      </c>
      <c r="AI303">
        <v>0</v>
      </c>
    </row>
    <row r="304" spans="1:35">
      <c r="A304" s="1">
        <f>HYPERLINK("https://lsnyc.legalserver.org/matter/dynamic-profile/view/1914462","19-1914462")</f>
        <v>0</v>
      </c>
      <c r="B304" t="s">
        <v>35</v>
      </c>
      <c r="C304" t="s">
        <v>39</v>
      </c>
      <c r="D304" t="s">
        <v>103</v>
      </c>
      <c r="E304" t="s">
        <v>751</v>
      </c>
      <c r="F304">
        <v>2094</v>
      </c>
      <c r="G304" t="s">
        <v>1178</v>
      </c>
      <c r="H304" t="s">
        <v>1323</v>
      </c>
      <c r="I304" t="s">
        <v>1329</v>
      </c>
      <c r="K304" t="s">
        <v>1436</v>
      </c>
      <c r="L304">
        <v>2</v>
      </c>
      <c r="M304">
        <v>1</v>
      </c>
      <c r="N304">
        <v>0</v>
      </c>
      <c r="O304" t="s">
        <v>1439</v>
      </c>
      <c r="P304">
        <v>60000</v>
      </c>
      <c r="Q304">
        <v>10462</v>
      </c>
      <c r="R304" t="s">
        <v>1445</v>
      </c>
      <c r="S304" t="s">
        <v>1452</v>
      </c>
      <c r="AC304">
        <v>0</v>
      </c>
      <c r="AD304">
        <v>0</v>
      </c>
      <c r="AF304">
        <v>0</v>
      </c>
      <c r="AG304">
        <v>0</v>
      </c>
      <c r="AH304">
        <v>0</v>
      </c>
      <c r="AI304">
        <v>0</v>
      </c>
    </row>
    <row r="305" spans="1:35">
      <c r="A305" s="1">
        <f>HYPERLINK("https://lsnyc.legalserver.org/matter/dynamic-profile/view/1914524","19-1914524")</f>
        <v>0</v>
      </c>
      <c r="B305" t="s">
        <v>36</v>
      </c>
      <c r="C305" t="s">
        <v>55</v>
      </c>
      <c r="D305" t="s">
        <v>155</v>
      </c>
      <c r="E305" t="s">
        <v>752</v>
      </c>
      <c r="F305">
        <v>2093</v>
      </c>
      <c r="G305" t="s">
        <v>1040</v>
      </c>
      <c r="H305" t="s">
        <v>1317</v>
      </c>
      <c r="K305" t="s">
        <v>1436</v>
      </c>
      <c r="L305">
        <v>2</v>
      </c>
      <c r="M305">
        <v>0</v>
      </c>
      <c r="N305">
        <v>0</v>
      </c>
      <c r="O305" t="s">
        <v>1440</v>
      </c>
      <c r="P305">
        <v>13200</v>
      </c>
      <c r="Q305">
        <v>11413</v>
      </c>
      <c r="R305" t="s">
        <v>1446</v>
      </c>
      <c r="S305" t="s">
        <v>1454</v>
      </c>
      <c r="AC305">
        <v>0</v>
      </c>
      <c r="AD305">
        <v>0</v>
      </c>
      <c r="AF305">
        <v>0</v>
      </c>
      <c r="AG305">
        <v>0</v>
      </c>
      <c r="AH305">
        <v>0</v>
      </c>
      <c r="AI305">
        <v>0</v>
      </c>
    </row>
    <row r="306" spans="1:35">
      <c r="A306" s="1">
        <f>HYPERLINK("https://lsnyc.legalserver.org/matter/dynamic-profile/view/1914649","19-1914649")</f>
        <v>0</v>
      </c>
      <c r="B306" t="s">
        <v>35</v>
      </c>
      <c r="C306" t="s">
        <v>39</v>
      </c>
      <c r="D306" t="s">
        <v>138</v>
      </c>
      <c r="E306" t="s">
        <v>546</v>
      </c>
      <c r="F306">
        <v>2094</v>
      </c>
      <c r="G306" t="s">
        <v>1179</v>
      </c>
      <c r="H306" t="s">
        <v>1313</v>
      </c>
      <c r="I306" t="s">
        <v>1398</v>
      </c>
      <c r="K306" t="s">
        <v>1436</v>
      </c>
      <c r="L306">
        <v>4</v>
      </c>
      <c r="M306">
        <v>0</v>
      </c>
      <c r="N306">
        <v>0</v>
      </c>
      <c r="O306" t="s">
        <v>1442</v>
      </c>
      <c r="P306">
        <v>70800</v>
      </c>
      <c r="Q306">
        <v>10465</v>
      </c>
      <c r="R306" t="s">
        <v>1445</v>
      </c>
      <c r="S306" t="s">
        <v>1454</v>
      </c>
      <c r="U306" t="s">
        <v>1472</v>
      </c>
      <c r="V306" t="s">
        <v>1470</v>
      </c>
      <c r="Y306" t="s">
        <v>1502</v>
      </c>
      <c r="AA306" t="s">
        <v>1498</v>
      </c>
      <c r="AC306">
        <v>0</v>
      </c>
      <c r="AD306">
        <v>0</v>
      </c>
      <c r="AF306">
        <v>0</v>
      </c>
      <c r="AG306">
        <v>0</v>
      </c>
      <c r="AH306">
        <v>0</v>
      </c>
      <c r="AI306">
        <v>0</v>
      </c>
    </row>
    <row r="307" spans="1:35">
      <c r="A307" s="1">
        <f>HYPERLINK("https://lsnyc.legalserver.org/matter/dynamic-profile/view/1914835","19-1914835")</f>
        <v>0</v>
      </c>
      <c r="B307" t="s">
        <v>38</v>
      </c>
      <c r="C307" t="s">
        <v>63</v>
      </c>
      <c r="D307" t="s">
        <v>322</v>
      </c>
      <c r="E307" t="s">
        <v>753</v>
      </c>
      <c r="F307">
        <v>2090</v>
      </c>
      <c r="G307" t="s">
        <v>1180</v>
      </c>
      <c r="H307" t="s">
        <v>1188</v>
      </c>
      <c r="K307" t="s">
        <v>1436</v>
      </c>
      <c r="L307">
        <v>1</v>
      </c>
      <c r="M307">
        <v>0</v>
      </c>
      <c r="N307">
        <v>0</v>
      </c>
      <c r="P307">
        <v>13140</v>
      </c>
      <c r="Q307">
        <v>10302</v>
      </c>
      <c r="R307" t="s">
        <v>1448</v>
      </c>
      <c r="AC307">
        <v>0</v>
      </c>
      <c r="AD307">
        <v>0</v>
      </c>
      <c r="AF307">
        <v>0</v>
      </c>
      <c r="AG307">
        <v>0</v>
      </c>
      <c r="AH307">
        <v>0</v>
      </c>
      <c r="AI307">
        <v>0</v>
      </c>
    </row>
    <row r="308" spans="1:35">
      <c r="A308" s="1">
        <f>HYPERLINK("https://lsnyc.legalserver.org/matter/dynamic-profile/view/1914983","19-1914983")</f>
        <v>0</v>
      </c>
      <c r="B308" t="s">
        <v>35</v>
      </c>
      <c r="C308" t="s">
        <v>39</v>
      </c>
      <c r="D308" t="s">
        <v>323</v>
      </c>
      <c r="E308" t="s">
        <v>754</v>
      </c>
      <c r="F308">
        <v>2094</v>
      </c>
      <c r="G308" t="s">
        <v>1180</v>
      </c>
      <c r="H308" t="s">
        <v>1188</v>
      </c>
      <c r="I308" t="s">
        <v>1349</v>
      </c>
      <c r="K308" t="s">
        <v>1436</v>
      </c>
      <c r="L308">
        <v>3</v>
      </c>
      <c r="M308">
        <v>0</v>
      </c>
      <c r="N308">
        <v>0</v>
      </c>
      <c r="O308" t="s">
        <v>1441</v>
      </c>
      <c r="P308">
        <v>93000</v>
      </c>
      <c r="Q308">
        <v>10469</v>
      </c>
      <c r="R308" t="s">
        <v>1445</v>
      </c>
      <c r="S308" t="s">
        <v>1458</v>
      </c>
      <c r="U308" t="s">
        <v>1470</v>
      </c>
      <c r="Y308" t="s">
        <v>1498</v>
      </c>
      <c r="AC308">
        <v>0</v>
      </c>
      <c r="AD308">
        <v>0</v>
      </c>
      <c r="AF308">
        <v>0</v>
      </c>
      <c r="AG308">
        <v>0</v>
      </c>
      <c r="AH308">
        <v>0</v>
      </c>
      <c r="AI308">
        <v>0</v>
      </c>
    </row>
    <row r="309" spans="1:35">
      <c r="A309" s="1">
        <f>HYPERLINK("https://lsnyc.legalserver.org/matter/dynamic-profile/view/1915038","19-1915038")</f>
        <v>0</v>
      </c>
      <c r="B309" t="s">
        <v>35</v>
      </c>
      <c r="C309" t="s">
        <v>39</v>
      </c>
      <c r="D309" t="s">
        <v>324</v>
      </c>
      <c r="E309" t="s">
        <v>556</v>
      </c>
      <c r="F309">
        <v>2094</v>
      </c>
      <c r="G309" t="s">
        <v>1180</v>
      </c>
      <c r="H309" t="s">
        <v>1188</v>
      </c>
      <c r="I309" t="s">
        <v>1351</v>
      </c>
      <c r="K309" t="s">
        <v>1436</v>
      </c>
      <c r="L309">
        <v>3</v>
      </c>
      <c r="M309">
        <v>0</v>
      </c>
      <c r="N309">
        <v>0</v>
      </c>
      <c r="O309" t="s">
        <v>1441</v>
      </c>
      <c r="P309">
        <v>98200</v>
      </c>
      <c r="Q309">
        <v>10462</v>
      </c>
      <c r="R309" t="s">
        <v>1445</v>
      </c>
      <c r="S309" t="s">
        <v>1463</v>
      </c>
      <c r="U309" t="s">
        <v>1470</v>
      </c>
      <c r="Y309" t="s">
        <v>1498</v>
      </c>
      <c r="AC309">
        <v>0</v>
      </c>
      <c r="AD309">
        <v>0</v>
      </c>
      <c r="AF309">
        <v>0</v>
      </c>
      <c r="AG309">
        <v>0</v>
      </c>
      <c r="AH309">
        <v>0</v>
      </c>
      <c r="AI309">
        <v>0</v>
      </c>
    </row>
    <row r="310" spans="1:35">
      <c r="A310" s="1">
        <f>HYPERLINK("https://lsnyc.legalserver.org/matter/dynamic-profile/view/1915224","19-1915224")</f>
        <v>0</v>
      </c>
      <c r="B310" t="s">
        <v>38</v>
      </c>
      <c r="C310" t="s">
        <v>44</v>
      </c>
      <c r="D310" t="s">
        <v>325</v>
      </c>
      <c r="E310" t="s">
        <v>746</v>
      </c>
      <c r="F310">
        <v>2090</v>
      </c>
      <c r="G310" t="s">
        <v>1181</v>
      </c>
      <c r="H310" t="s">
        <v>1188</v>
      </c>
      <c r="K310" t="s">
        <v>1436</v>
      </c>
      <c r="L310">
        <v>2</v>
      </c>
      <c r="M310">
        <v>0</v>
      </c>
      <c r="N310">
        <v>0</v>
      </c>
      <c r="P310">
        <v>29080</v>
      </c>
      <c r="Q310">
        <v>10305</v>
      </c>
      <c r="R310" t="s">
        <v>1448</v>
      </c>
      <c r="AC310">
        <v>0</v>
      </c>
      <c r="AD310">
        <v>0</v>
      </c>
      <c r="AF310">
        <v>0</v>
      </c>
      <c r="AG310">
        <v>0</v>
      </c>
      <c r="AH310">
        <v>0</v>
      </c>
      <c r="AI310">
        <v>0</v>
      </c>
    </row>
    <row r="311" spans="1:35">
      <c r="A311" s="1">
        <f>HYPERLINK("https://lsnyc.legalserver.org/matter/dynamic-profile/view/1915373","19-1915373")</f>
        <v>0</v>
      </c>
      <c r="B311" t="s">
        <v>36</v>
      </c>
      <c r="C311" t="s">
        <v>49</v>
      </c>
      <c r="D311" t="s">
        <v>326</v>
      </c>
      <c r="E311" t="s">
        <v>625</v>
      </c>
      <c r="F311">
        <v>2093</v>
      </c>
      <c r="G311" t="s">
        <v>1182</v>
      </c>
      <c r="H311" t="s">
        <v>1315</v>
      </c>
      <c r="K311" t="s">
        <v>1436</v>
      </c>
      <c r="L311">
        <v>1</v>
      </c>
      <c r="M311">
        <v>0</v>
      </c>
      <c r="N311">
        <v>0</v>
      </c>
      <c r="P311">
        <v>0</v>
      </c>
      <c r="Q311">
        <v>11436</v>
      </c>
      <c r="R311" t="s">
        <v>1446</v>
      </c>
      <c r="AC311">
        <v>0</v>
      </c>
      <c r="AD311">
        <v>0</v>
      </c>
      <c r="AF311">
        <v>0</v>
      </c>
      <c r="AG311">
        <v>0</v>
      </c>
      <c r="AH311">
        <v>0</v>
      </c>
      <c r="AI311">
        <v>0</v>
      </c>
    </row>
    <row r="312" spans="1:35">
      <c r="A312" s="1">
        <f>HYPERLINK("https://lsnyc.legalserver.org/matter/dynamic-profile/view/1915542","19-1915542")</f>
        <v>0</v>
      </c>
      <c r="B312" t="s">
        <v>38</v>
      </c>
      <c r="C312" t="s">
        <v>53</v>
      </c>
      <c r="D312" t="s">
        <v>327</v>
      </c>
      <c r="E312" t="s">
        <v>755</v>
      </c>
      <c r="F312">
        <v>2090</v>
      </c>
      <c r="G312" t="s">
        <v>1183</v>
      </c>
      <c r="H312" t="s">
        <v>1313</v>
      </c>
      <c r="K312" t="s">
        <v>1436</v>
      </c>
      <c r="L312">
        <v>1</v>
      </c>
      <c r="M312">
        <v>0</v>
      </c>
      <c r="N312">
        <v>0</v>
      </c>
      <c r="P312">
        <v>0</v>
      </c>
      <c r="Q312">
        <v>10310</v>
      </c>
      <c r="R312" t="s">
        <v>1448</v>
      </c>
      <c r="AC312">
        <v>0</v>
      </c>
      <c r="AD312">
        <v>0</v>
      </c>
      <c r="AF312">
        <v>0</v>
      </c>
      <c r="AG312">
        <v>0</v>
      </c>
      <c r="AH312">
        <v>0</v>
      </c>
      <c r="AI312">
        <v>0</v>
      </c>
    </row>
    <row r="313" spans="1:35">
      <c r="A313" s="1">
        <f>HYPERLINK("https://lsnyc.legalserver.org/matter/dynamic-profile/view/1915995","19-1915995")</f>
        <v>0</v>
      </c>
      <c r="B313" t="s">
        <v>36</v>
      </c>
      <c r="C313" t="s">
        <v>47</v>
      </c>
      <c r="D313" t="s">
        <v>105</v>
      </c>
      <c r="E313" t="s">
        <v>723</v>
      </c>
      <c r="F313">
        <v>2093</v>
      </c>
      <c r="G313" t="s">
        <v>1184</v>
      </c>
      <c r="H313" t="s">
        <v>1318</v>
      </c>
      <c r="I313" t="s">
        <v>1415</v>
      </c>
      <c r="J313" t="s">
        <v>1398</v>
      </c>
      <c r="K313" t="s">
        <v>1436</v>
      </c>
      <c r="L313">
        <v>2</v>
      </c>
      <c r="M313">
        <v>0</v>
      </c>
      <c r="N313">
        <v>0</v>
      </c>
      <c r="O313" t="s">
        <v>1441</v>
      </c>
      <c r="P313">
        <v>36400</v>
      </c>
      <c r="Q313">
        <v>11434</v>
      </c>
      <c r="R313" t="s">
        <v>1446</v>
      </c>
      <c r="S313" t="s">
        <v>1463</v>
      </c>
      <c r="AC313">
        <v>0</v>
      </c>
      <c r="AD313">
        <v>0</v>
      </c>
      <c r="AF313">
        <v>0</v>
      </c>
      <c r="AG313">
        <v>0</v>
      </c>
      <c r="AH313">
        <v>0</v>
      </c>
      <c r="AI313">
        <v>0</v>
      </c>
    </row>
    <row r="314" spans="1:35">
      <c r="A314" s="1">
        <f>HYPERLINK("https://lsnyc.legalserver.org/matter/dynamic-profile/view/1916000","19-1916000")</f>
        <v>0</v>
      </c>
      <c r="B314" t="s">
        <v>36</v>
      </c>
      <c r="C314" t="s">
        <v>47</v>
      </c>
      <c r="D314" t="s">
        <v>328</v>
      </c>
      <c r="E314" t="s">
        <v>756</v>
      </c>
      <c r="F314">
        <v>2093</v>
      </c>
      <c r="G314" t="s">
        <v>1184</v>
      </c>
      <c r="H314" t="s">
        <v>1318</v>
      </c>
      <c r="I314" t="s">
        <v>1375</v>
      </c>
      <c r="K314" t="s">
        <v>1436</v>
      </c>
      <c r="L314">
        <v>2</v>
      </c>
      <c r="M314">
        <v>2</v>
      </c>
      <c r="N314">
        <v>0</v>
      </c>
      <c r="O314" t="s">
        <v>1442</v>
      </c>
      <c r="P314">
        <v>768000</v>
      </c>
      <c r="Q314">
        <v>11434</v>
      </c>
      <c r="R314" t="s">
        <v>1446</v>
      </c>
      <c r="S314" t="s">
        <v>1454</v>
      </c>
      <c r="AC314">
        <v>0</v>
      </c>
      <c r="AD314">
        <v>0</v>
      </c>
      <c r="AF314">
        <v>0</v>
      </c>
      <c r="AG314">
        <v>0</v>
      </c>
      <c r="AH314">
        <v>0</v>
      </c>
      <c r="AI314">
        <v>0</v>
      </c>
    </row>
    <row r="315" spans="1:35">
      <c r="A315" s="1">
        <f>HYPERLINK("https://lsnyc.legalserver.org/matter/dynamic-profile/view/1916258","19-1916258")</f>
        <v>0</v>
      </c>
      <c r="B315" t="s">
        <v>36</v>
      </c>
      <c r="C315" t="s">
        <v>56</v>
      </c>
      <c r="D315" t="s">
        <v>241</v>
      </c>
      <c r="E315" t="s">
        <v>670</v>
      </c>
      <c r="F315">
        <v>2093</v>
      </c>
      <c r="G315" t="s">
        <v>1185</v>
      </c>
      <c r="H315" t="s">
        <v>1188</v>
      </c>
      <c r="K315" t="s">
        <v>1436</v>
      </c>
      <c r="L315">
        <v>1</v>
      </c>
      <c r="M315">
        <v>0</v>
      </c>
      <c r="N315">
        <v>0</v>
      </c>
      <c r="P315">
        <v>26400</v>
      </c>
      <c r="Q315">
        <v>11435</v>
      </c>
      <c r="R315" t="s">
        <v>1446</v>
      </c>
      <c r="AC315">
        <v>0</v>
      </c>
      <c r="AD315">
        <v>0</v>
      </c>
      <c r="AF315">
        <v>0</v>
      </c>
      <c r="AG315">
        <v>0</v>
      </c>
      <c r="AH315">
        <v>0</v>
      </c>
      <c r="AI315">
        <v>0</v>
      </c>
    </row>
    <row r="316" spans="1:35">
      <c r="A316" s="1">
        <f>HYPERLINK("https://lsnyc.legalserver.org/matter/dynamic-profile/view/1916263","19-1916263")</f>
        <v>0</v>
      </c>
      <c r="B316" t="s">
        <v>37</v>
      </c>
      <c r="C316" t="s">
        <v>42</v>
      </c>
      <c r="D316" t="s">
        <v>329</v>
      </c>
      <c r="E316" t="s">
        <v>757</v>
      </c>
      <c r="F316">
        <v>2091</v>
      </c>
      <c r="G316" t="s">
        <v>1185</v>
      </c>
      <c r="H316" t="s">
        <v>1318</v>
      </c>
      <c r="K316" t="s">
        <v>1436</v>
      </c>
      <c r="L316">
        <v>2</v>
      </c>
      <c r="M316">
        <v>0</v>
      </c>
      <c r="N316">
        <v>0</v>
      </c>
      <c r="P316">
        <v>31896</v>
      </c>
      <c r="Q316">
        <v>11234</v>
      </c>
      <c r="R316" t="s">
        <v>1447</v>
      </c>
      <c r="AC316">
        <v>0</v>
      </c>
      <c r="AD316">
        <v>0</v>
      </c>
      <c r="AF316">
        <v>0</v>
      </c>
      <c r="AG316">
        <v>0</v>
      </c>
      <c r="AH316">
        <v>0</v>
      </c>
      <c r="AI316">
        <v>0</v>
      </c>
    </row>
    <row r="317" spans="1:35">
      <c r="A317" s="1">
        <f>HYPERLINK("https://lsnyc.legalserver.org/matter/dynamic-profile/view/1916490","19-1916490")</f>
        <v>0</v>
      </c>
      <c r="B317" t="s">
        <v>35</v>
      </c>
      <c r="C317" t="s">
        <v>39</v>
      </c>
      <c r="D317" t="s">
        <v>330</v>
      </c>
      <c r="E317" t="s">
        <v>758</v>
      </c>
      <c r="F317">
        <v>2094</v>
      </c>
      <c r="G317" t="s">
        <v>1186</v>
      </c>
      <c r="H317" t="s">
        <v>1187</v>
      </c>
      <c r="I317" t="s">
        <v>1338</v>
      </c>
      <c r="K317" t="s">
        <v>1436</v>
      </c>
      <c r="L317">
        <v>2</v>
      </c>
      <c r="M317">
        <v>0</v>
      </c>
      <c r="N317">
        <v>0</v>
      </c>
      <c r="O317" t="s">
        <v>1440</v>
      </c>
      <c r="P317">
        <v>220000</v>
      </c>
      <c r="Q317">
        <v>10466</v>
      </c>
      <c r="R317" t="s">
        <v>1445</v>
      </c>
      <c r="S317" t="s">
        <v>1452</v>
      </c>
      <c r="AC317">
        <v>0</v>
      </c>
      <c r="AD317">
        <v>0</v>
      </c>
      <c r="AF317">
        <v>0</v>
      </c>
      <c r="AG317">
        <v>0</v>
      </c>
      <c r="AH317">
        <v>0</v>
      </c>
      <c r="AI317">
        <v>0</v>
      </c>
    </row>
    <row r="318" spans="1:35">
      <c r="A318" s="1">
        <f>HYPERLINK("https://lsnyc.legalserver.org/matter/dynamic-profile/view/1916519","19-1916519")</f>
        <v>0</v>
      </c>
      <c r="B318" t="s">
        <v>35</v>
      </c>
      <c r="C318" t="s">
        <v>39</v>
      </c>
      <c r="D318" t="s">
        <v>331</v>
      </c>
      <c r="E318" t="s">
        <v>759</v>
      </c>
      <c r="F318">
        <v>2094</v>
      </c>
      <c r="G318" t="s">
        <v>1186</v>
      </c>
      <c r="H318" t="s">
        <v>1187</v>
      </c>
      <c r="K318" t="s">
        <v>1436</v>
      </c>
      <c r="L318">
        <v>3</v>
      </c>
      <c r="M318">
        <v>0</v>
      </c>
      <c r="N318">
        <v>1</v>
      </c>
      <c r="O318" t="s">
        <v>1441</v>
      </c>
      <c r="P318">
        <v>46776</v>
      </c>
      <c r="Q318">
        <v>10473</v>
      </c>
      <c r="R318" t="s">
        <v>1445</v>
      </c>
      <c r="S318" t="s">
        <v>1454</v>
      </c>
      <c r="T318" t="s">
        <v>1452</v>
      </c>
      <c r="AC318">
        <v>0</v>
      </c>
      <c r="AD318">
        <v>0</v>
      </c>
      <c r="AF318">
        <v>0</v>
      </c>
      <c r="AG318">
        <v>0</v>
      </c>
      <c r="AH318">
        <v>0</v>
      </c>
      <c r="AI318">
        <v>0</v>
      </c>
    </row>
    <row r="319" spans="1:35">
      <c r="A319" s="1">
        <f>HYPERLINK("https://lsnyc.legalserver.org/matter/dynamic-profile/view/1916521","19-1916521")</f>
        <v>0</v>
      </c>
      <c r="B319" t="s">
        <v>36</v>
      </c>
      <c r="C319" t="s">
        <v>56</v>
      </c>
      <c r="D319" t="s">
        <v>332</v>
      </c>
      <c r="E319" t="s">
        <v>469</v>
      </c>
      <c r="F319">
        <v>2093</v>
      </c>
      <c r="G319" t="s">
        <v>1186</v>
      </c>
      <c r="H319" t="s">
        <v>1188</v>
      </c>
      <c r="K319" t="s">
        <v>1436</v>
      </c>
      <c r="L319">
        <v>1</v>
      </c>
      <c r="M319">
        <v>1</v>
      </c>
      <c r="N319">
        <v>0</v>
      </c>
      <c r="P319">
        <v>16200</v>
      </c>
      <c r="Q319">
        <v>11434</v>
      </c>
      <c r="R319" t="s">
        <v>1446</v>
      </c>
      <c r="AC319">
        <v>0</v>
      </c>
      <c r="AD319">
        <v>0</v>
      </c>
      <c r="AF319">
        <v>0</v>
      </c>
      <c r="AG319">
        <v>0</v>
      </c>
      <c r="AH319">
        <v>0</v>
      </c>
      <c r="AI319">
        <v>0</v>
      </c>
    </row>
    <row r="320" spans="1:35">
      <c r="A320" s="1">
        <f>HYPERLINK("https://lsnyc.legalserver.org/matter/dynamic-profile/view/1916561","19-1916561")</f>
        <v>0</v>
      </c>
      <c r="B320" t="s">
        <v>35</v>
      </c>
      <c r="C320" t="s">
        <v>39</v>
      </c>
      <c r="D320" t="s">
        <v>333</v>
      </c>
      <c r="E320" t="s">
        <v>760</v>
      </c>
      <c r="F320">
        <v>2094</v>
      </c>
      <c r="G320" t="s">
        <v>1186</v>
      </c>
      <c r="H320" t="s">
        <v>1187</v>
      </c>
      <c r="I320" t="s">
        <v>1352</v>
      </c>
      <c r="K320" t="s">
        <v>1436</v>
      </c>
      <c r="L320">
        <v>3</v>
      </c>
      <c r="M320">
        <v>2</v>
      </c>
      <c r="N320">
        <v>0</v>
      </c>
      <c r="O320" t="s">
        <v>1439</v>
      </c>
      <c r="P320">
        <v>124280</v>
      </c>
      <c r="Q320">
        <v>10462</v>
      </c>
      <c r="R320" t="s">
        <v>1445</v>
      </c>
      <c r="S320" t="s">
        <v>1452</v>
      </c>
      <c r="AC320">
        <v>0</v>
      </c>
      <c r="AD320">
        <v>0</v>
      </c>
      <c r="AF320">
        <v>0</v>
      </c>
      <c r="AG320">
        <v>0</v>
      </c>
      <c r="AH320">
        <v>0</v>
      </c>
      <c r="AI320">
        <v>0</v>
      </c>
    </row>
    <row r="321" spans="1:35">
      <c r="A321" s="1">
        <f>HYPERLINK("https://lsnyc.legalserver.org/matter/dynamic-profile/view/1916632","19-1916632")</f>
        <v>0</v>
      </c>
      <c r="B321" t="s">
        <v>36</v>
      </c>
      <c r="C321" t="s">
        <v>60</v>
      </c>
      <c r="D321" t="s">
        <v>334</v>
      </c>
      <c r="E321" t="s">
        <v>700</v>
      </c>
      <c r="F321">
        <v>2093</v>
      </c>
      <c r="G321" t="s">
        <v>1187</v>
      </c>
      <c r="H321" t="s">
        <v>1311</v>
      </c>
      <c r="I321" t="s">
        <v>1336</v>
      </c>
      <c r="K321" t="s">
        <v>1436</v>
      </c>
      <c r="L321">
        <v>4</v>
      </c>
      <c r="M321">
        <v>2</v>
      </c>
      <c r="N321">
        <v>0</v>
      </c>
      <c r="O321" t="s">
        <v>1440</v>
      </c>
      <c r="P321">
        <v>48000</v>
      </c>
      <c r="Q321">
        <v>11422</v>
      </c>
      <c r="R321" t="s">
        <v>1446</v>
      </c>
      <c r="S321" t="s">
        <v>1452</v>
      </c>
      <c r="AC321">
        <v>0</v>
      </c>
      <c r="AD321">
        <v>0</v>
      </c>
      <c r="AF321">
        <v>0</v>
      </c>
      <c r="AG321">
        <v>0</v>
      </c>
      <c r="AH321">
        <v>0</v>
      </c>
      <c r="AI321">
        <v>0</v>
      </c>
    </row>
    <row r="322" spans="1:35">
      <c r="A322" s="1">
        <f>HYPERLINK("https://lsnyc.legalserver.org/matter/dynamic-profile/view/1917274","19-1917274")</f>
        <v>0</v>
      </c>
      <c r="B322" t="s">
        <v>36</v>
      </c>
      <c r="C322" t="s">
        <v>56</v>
      </c>
      <c r="D322" t="s">
        <v>335</v>
      </c>
      <c r="E322" t="s">
        <v>645</v>
      </c>
      <c r="F322">
        <v>2093</v>
      </c>
      <c r="G322" t="s">
        <v>1188</v>
      </c>
      <c r="H322" t="s">
        <v>1311</v>
      </c>
      <c r="I322" t="s">
        <v>1362</v>
      </c>
      <c r="K322" t="s">
        <v>1436</v>
      </c>
      <c r="L322">
        <v>1</v>
      </c>
      <c r="M322">
        <v>0</v>
      </c>
      <c r="N322">
        <v>1</v>
      </c>
      <c r="O322" t="s">
        <v>1440</v>
      </c>
      <c r="P322">
        <v>18600</v>
      </c>
      <c r="Q322">
        <v>11434</v>
      </c>
      <c r="R322" t="s">
        <v>1446</v>
      </c>
      <c r="S322" t="s">
        <v>1454</v>
      </c>
      <c r="AC322">
        <v>0</v>
      </c>
      <c r="AD322">
        <v>0</v>
      </c>
      <c r="AF322">
        <v>0</v>
      </c>
      <c r="AG322">
        <v>0</v>
      </c>
      <c r="AH322">
        <v>0</v>
      </c>
      <c r="AI322">
        <v>0</v>
      </c>
    </row>
    <row r="323" spans="1:35">
      <c r="A323" s="1">
        <f>HYPERLINK("https://lsnyc.legalserver.org/matter/dynamic-profile/view/1917160","19-1917160")</f>
        <v>0</v>
      </c>
      <c r="B323" t="s">
        <v>36</v>
      </c>
      <c r="C323" t="s">
        <v>52</v>
      </c>
      <c r="D323" t="s">
        <v>176</v>
      </c>
      <c r="E323" t="s">
        <v>525</v>
      </c>
      <c r="F323">
        <v>2093</v>
      </c>
      <c r="G323" t="s">
        <v>989</v>
      </c>
      <c r="H323" t="s">
        <v>1317</v>
      </c>
      <c r="K323" t="s">
        <v>1436</v>
      </c>
      <c r="L323">
        <v>1</v>
      </c>
      <c r="M323">
        <v>0</v>
      </c>
      <c r="N323">
        <v>0</v>
      </c>
      <c r="P323">
        <v>70000</v>
      </c>
      <c r="Q323">
        <v>11434</v>
      </c>
      <c r="R323" t="s">
        <v>1446</v>
      </c>
      <c r="AC323">
        <v>0</v>
      </c>
      <c r="AD323">
        <v>0</v>
      </c>
      <c r="AF323">
        <v>0</v>
      </c>
      <c r="AG323">
        <v>0</v>
      </c>
      <c r="AH323">
        <v>0</v>
      </c>
      <c r="AI323">
        <v>0</v>
      </c>
    </row>
    <row r="324" spans="1:35">
      <c r="A324" s="1">
        <f>HYPERLINK("https://lsnyc.legalserver.org/matter/dynamic-profile/view/1912813","19-1912813")</f>
        <v>0</v>
      </c>
      <c r="B324" t="s">
        <v>37</v>
      </c>
      <c r="C324" t="s">
        <v>57</v>
      </c>
      <c r="D324" t="s">
        <v>336</v>
      </c>
      <c r="E324" t="s">
        <v>761</v>
      </c>
      <c r="F324">
        <v>2091</v>
      </c>
      <c r="G324" t="s">
        <v>1173</v>
      </c>
      <c r="H324" t="s">
        <v>1321</v>
      </c>
      <c r="K324" t="s">
        <v>1437</v>
      </c>
      <c r="L324">
        <v>2</v>
      </c>
      <c r="M324">
        <v>0</v>
      </c>
      <c r="N324">
        <v>0</v>
      </c>
      <c r="P324">
        <v>29256</v>
      </c>
      <c r="Q324">
        <v>11208</v>
      </c>
      <c r="R324" t="s">
        <v>1447</v>
      </c>
      <c r="S324" t="s">
        <v>1452</v>
      </c>
      <c r="U324" t="s">
        <v>1475</v>
      </c>
      <c r="Y324" t="s">
        <v>1498</v>
      </c>
      <c r="AC324">
        <v>0</v>
      </c>
      <c r="AD324">
        <v>0</v>
      </c>
      <c r="AF324">
        <v>0</v>
      </c>
      <c r="AG324">
        <v>0</v>
      </c>
      <c r="AH324">
        <v>0</v>
      </c>
      <c r="AI324">
        <v>0</v>
      </c>
    </row>
    <row r="325" spans="1:35">
      <c r="A325" s="1">
        <f>HYPERLINK("https://lsnyc.legalserver.org/matter/dynamic-profile/view/0771330","15-0771330")</f>
        <v>0</v>
      </c>
      <c r="B325" t="s">
        <v>37</v>
      </c>
      <c r="C325" t="s">
        <v>42</v>
      </c>
      <c r="D325" t="s">
        <v>337</v>
      </c>
      <c r="E325" t="s">
        <v>762</v>
      </c>
      <c r="F325">
        <v>2091</v>
      </c>
      <c r="G325" t="s">
        <v>1189</v>
      </c>
      <c r="H325" t="s">
        <v>1317</v>
      </c>
      <c r="I325" t="s">
        <v>1332</v>
      </c>
      <c r="K325" t="s">
        <v>1437</v>
      </c>
      <c r="L325">
        <v>1</v>
      </c>
      <c r="M325">
        <v>1</v>
      </c>
      <c r="N325">
        <v>2</v>
      </c>
      <c r="O325" t="s">
        <v>1441</v>
      </c>
      <c r="P325">
        <v>104940</v>
      </c>
      <c r="Q325">
        <v>11236</v>
      </c>
      <c r="R325" t="s">
        <v>1447</v>
      </c>
      <c r="S325" t="s">
        <v>1454</v>
      </c>
      <c r="T325" t="s">
        <v>1469</v>
      </c>
      <c r="U325" t="s">
        <v>1478</v>
      </c>
      <c r="V325" t="s">
        <v>1488</v>
      </c>
      <c r="W325" t="s">
        <v>1490</v>
      </c>
      <c r="Y325" t="s">
        <v>1499</v>
      </c>
      <c r="AA325" t="s">
        <v>1502</v>
      </c>
      <c r="AC325">
        <v>0</v>
      </c>
      <c r="AD325">
        <v>0</v>
      </c>
      <c r="AF325">
        <v>0</v>
      </c>
      <c r="AG325">
        <v>0</v>
      </c>
      <c r="AH325">
        <v>0</v>
      </c>
      <c r="AI325">
        <v>0</v>
      </c>
    </row>
    <row r="326" spans="1:35">
      <c r="A326" s="1">
        <f>HYPERLINK("https://lsnyc.legalserver.org/matter/dynamic-profile/view/1902790","19-1902790")</f>
        <v>0</v>
      </c>
      <c r="B326" t="s">
        <v>37</v>
      </c>
      <c r="C326" t="s">
        <v>42</v>
      </c>
      <c r="D326" t="s">
        <v>338</v>
      </c>
      <c r="E326" t="s">
        <v>763</v>
      </c>
      <c r="F326">
        <v>2091</v>
      </c>
      <c r="G326" t="s">
        <v>1190</v>
      </c>
      <c r="H326" t="s">
        <v>1317</v>
      </c>
      <c r="I326" t="s">
        <v>1332</v>
      </c>
      <c r="K326" t="s">
        <v>1437</v>
      </c>
      <c r="L326">
        <v>2</v>
      </c>
      <c r="M326">
        <v>1</v>
      </c>
      <c r="N326">
        <v>0</v>
      </c>
      <c r="O326" t="s">
        <v>1441</v>
      </c>
      <c r="P326">
        <v>20800</v>
      </c>
      <c r="Q326">
        <v>11236</v>
      </c>
      <c r="R326" t="s">
        <v>1447</v>
      </c>
      <c r="S326" t="s">
        <v>1456</v>
      </c>
      <c r="T326" t="s">
        <v>1463</v>
      </c>
      <c r="U326" t="s">
        <v>1475</v>
      </c>
      <c r="Y326" t="s">
        <v>1498</v>
      </c>
      <c r="AC326">
        <v>0</v>
      </c>
      <c r="AD326">
        <v>0</v>
      </c>
      <c r="AF326">
        <v>0</v>
      </c>
      <c r="AG326">
        <v>0</v>
      </c>
      <c r="AH326">
        <v>0</v>
      </c>
      <c r="AI326">
        <v>0</v>
      </c>
    </row>
    <row r="327" spans="1:35">
      <c r="A327" s="1">
        <f>HYPERLINK("https://lsnyc.legalserver.org/matter/dynamic-profile/view/1872382","18-1872382")</f>
        <v>0</v>
      </c>
      <c r="B327" t="s">
        <v>38</v>
      </c>
      <c r="C327" t="s">
        <v>48</v>
      </c>
      <c r="D327" t="s">
        <v>339</v>
      </c>
      <c r="E327" t="s">
        <v>764</v>
      </c>
      <c r="F327">
        <v>2090</v>
      </c>
      <c r="G327" t="s">
        <v>1105</v>
      </c>
      <c r="H327" t="s">
        <v>1313</v>
      </c>
      <c r="I327" t="s">
        <v>1348</v>
      </c>
      <c r="K327" t="s">
        <v>1437</v>
      </c>
      <c r="L327">
        <v>3</v>
      </c>
      <c r="M327">
        <v>0</v>
      </c>
      <c r="N327">
        <v>0</v>
      </c>
      <c r="O327" t="s">
        <v>1441</v>
      </c>
      <c r="P327">
        <v>46800</v>
      </c>
      <c r="Q327">
        <v>10310</v>
      </c>
      <c r="R327" t="s">
        <v>1448</v>
      </c>
      <c r="S327" t="s">
        <v>1460</v>
      </c>
      <c r="U327" t="s">
        <v>1473</v>
      </c>
      <c r="V327" t="s">
        <v>1474</v>
      </c>
      <c r="Y327" t="s">
        <v>1510</v>
      </c>
      <c r="AA327" t="s">
        <v>1504</v>
      </c>
      <c r="AC327">
        <v>0</v>
      </c>
      <c r="AD327">
        <v>0</v>
      </c>
      <c r="AE327" t="s">
        <v>1532</v>
      </c>
      <c r="AF327">
        <v>0</v>
      </c>
      <c r="AG327">
        <v>0</v>
      </c>
      <c r="AH327">
        <v>0</v>
      </c>
      <c r="AI327">
        <v>0</v>
      </c>
    </row>
    <row r="328" spans="1:35">
      <c r="A328" s="1">
        <f>HYPERLINK("https://lsnyc.legalserver.org/matter/dynamic-profile/view/1899316","19-1899316")</f>
        <v>0</v>
      </c>
      <c r="B328" t="s">
        <v>38</v>
      </c>
      <c r="C328" t="s">
        <v>53</v>
      </c>
      <c r="D328" t="s">
        <v>340</v>
      </c>
      <c r="E328" t="s">
        <v>765</v>
      </c>
      <c r="F328">
        <v>2090</v>
      </c>
      <c r="G328" t="s">
        <v>1191</v>
      </c>
      <c r="H328" t="s">
        <v>1313</v>
      </c>
      <c r="K328" t="s">
        <v>1437</v>
      </c>
      <c r="L328">
        <v>2</v>
      </c>
      <c r="M328">
        <v>2</v>
      </c>
      <c r="N328">
        <v>0</v>
      </c>
      <c r="P328">
        <v>0</v>
      </c>
      <c r="Q328">
        <v>10310</v>
      </c>
      <c r="R328" t="s">
        <v>1448</v>
      </c>
      <c r="S328" t="s">
        <v>1465</v>
      </c>
      <c r="U328" t="s">
        <v>1474</v>
      </c>
      <c r="Y328" t="s">
        <v>1510</v>
      </c>
      <c r="AC328">
        <v>0</v>
      </c>
      <c r="AD328">
        <v>0</v>
      </c>
      <c r="AF328">
        <v>0</v>
      </c>
      <c r="AG328">
        <v>0</v>
      </c>
      <c r="AH328">
        <v>0</v>
      </c>
      <c r="AI328">
        <v>0</v>
      </c>
    </row>
    <row r="329" spans="1:35">
      <c r="A329" s="1">
        <f>HYPERLINK("https://lsnyc.legalserver.org/matter/dynamic-profile/view/1907440","19-1907440")</f>
        <v>0</v>
      </c>
      <c r="B329" t="s">
        <v>35</v>
      </c>
      <c r="C329" t="s">
        <v>39</v>
      </c>
      <c r="D329" t="s">
        <v>341</v>
      </c>
      <c r="E329" t="s">
        <v>676</v>
      </c>
      <c r="F329">
        <v>2094</v>
      </c>
      <c r="G329" t="s">
        <v>1192</v>
      </c>
      <c r="H329" t="s">
        <v>1186</v>
      </c>
      <c r="I329" t="s">
        <v>1337</v>
      </c>
      <c r="K329" t="s">
        <v>1437</v>
      </c>
      <c r="L329">
        <v>2</v>
      </c>
      <c r="M329">
        <v>1</v>
      </c>
      <c r="N329">
        <v>0</v>
      </c>
      <c r="O329" t="s">
        <v>1439</v>
      </c>
      <c r="P329">
        <v>35635.56</v>
      </c>
      <c r="Q329">
        <v>10473</v>
      </c>
      <c r="R329" t="s">
        <v>1445</v>
      </c>
      <c r="S329" t="s">
        <v>1465</v>
      </c>
      <c r="U329" t="s">
        <v>1475</v>
      </c>
      <c r="V329" t="s">
        <v>1472</v>
      </c>
      <c r="Y329" t="s">
        <v>1498</v>
      </c>
      <c r="AC329">
        <v>0</v>
      </c>
      <c r="AD329">
        <v>0</v>
      </c>
      <c r="AF329">
        <v>0</v>
      </c>
      <c r="AG329">
        <v>0</v>
      </c>
      <c r="AH329">
        <v>0</v>
      </c>
      <c r="AI329">
        <v>0</v>
      </c>
    </row>
    <row r="330" spans="1:35">
      <c r="A330" s="1">
        <f>HYPERLINK("https://lsnyc.legalserver.org/matter/dynamic-profile/view/1907488","19-1907488")</f>
        <v>0</v>
      </c>
      <c r="B330" t="s">
        <v>35</v>
      </c>
      <c r="C330" t="s">
        <v>39</v>
      </c>
      <c r="D330" t="s">
        <v>113</v>
      </c>
      <c r="E330" t="s">
        <v>766</v>
      </c>
      <c r="F330">
        <v>2094</v>
      </c>
      <c r="G330" t="s">
        <v>1192</v>
      </c>
      <c r="H330" t="s">
        <v>1186</v>
      </c>
      <c r="I330" t="s">
        <v>1398</v>
      </c>
      <c r="K330" t="s">
        <v>1437</v>
      </c>
      <c r="L330">
        <v>2</v>
      </c>
      <c r="M330">
        <v>3</v>
      </c>
      <c r="N330">
        <v>1</v>
      </c>
      <c r="O330" t="s">
        <v>1441</v>
      </c>
      <c r="P330">
        <v>61400</v>
      </c>
      <c r="Q330">
        <v>10474</v>
      </c>
      <c r="R330" t="s">
        <v>1445</v>
      </c>
      <c r="S330" t="s">
        <v>1463</v>
      </c>
      <c r="T330" t="s">
        <v>1458</v>
      </c>
      <c r="U330" t="s">
        <v>1475</v>
      </c>
      <c r="Y330" t="s">
        <v>1498</v>
      </c>
      <c r="AC330">
        <v>0</v>
      </c>
      <c r="AD330">
        <v>0</v>
      </c>
      <c r="AF330">
        <v>0</v>
      </c>
      <c r="AG330">
        <v>0</v>
      </c>
      <c r="AH330">
        <v>0</v>
      </c>
      <c r="AI330">
        <v>0</v>
      </c>
    </row>
    <row r="331" spans="1:35">
      <c r="A331" s="1">
        <f>HYPERLINK("https://lsnyc.legalserver.org/matter/dynamic-profile/view/1907948","19-1907948")</f>
        <v>0</v>
      </c>
      <c r="B331" t="s">
        <v>35</v>
      </c>
      <c r="C331" t="s">
        <v>39</v>
      </c>
      <c r="D331" t="s">
        <v>342</v>
      </c>
      <c r="E331" t="s">
        <v>767</v>
      </c>
      <c r="F331">
        <v>2094</v>
      </c>
      <c r="G331" t="s">
        <v>992</v>
      </c>
      <c r="H331" t="s">
        <v>1186</v>
      </c>
      <c r="I331" t="s">
        <v>1329</v>
      </c>
      <c r="K331" t="s">
        <v>1437</v>
      </c>
      <c r="L331">
        <v>1</v>
      </c>
      <c r="M331">
        <v>0</v>
      </c>
      <c r="N331">
        <v>0</v>
      </c>
      <c r="O331" t="s">
        <v>1443</v>
      </c>
      <c r="P331">
        <v>16640</v>
      </c>
      <c r="Q331">
        <v>10028</v>
      </c>
      <c r="R331" t="s">
        <v>1449</v>
      </c>
      <c r="S331" t="s">
        <v>1453</v>
      </c>
      <c r="U331" t="s">
        <v>1470</v>
      </c>
      <c r="Y331" t="s">
        <v>1498</v>
      </c>
      <c r="AC331">
        <v>0</v>
      </c>
      <c r="AD331">
        <v>0</v>
      </c>
      <c r="AF331">
        <v>0</v>
      </c>
      <c r="AG331">
        <v>0</v>
      </c>
      <c r="AH331">
        <v>0</v>
      </c>
      <c r="AI331">
        <v>0</v>
      </c>
    </row>
    <row r="332" spans="1:35">
      <c r="A332" s="1">
        <f>HYPERLINK("https://lsnyc.legalserver.org/matter/dynamic-profile/view/1910100","19-1910100")</f>
        <v>0</v>
      </c>
      <c r="B332" t="s">
        <v>35</v>
      </c>
      <c r="C332" t="s">
        <v>39</v>
      </c>
      <c r="D332" t="s">
        <v>343</v>
      </c>
      <c r="E332" t="s">
        <v>527</v>
      </c>
      <c r="F332">
        <v>2094</v>
      </c>
      <c r="G332" t="s">
        <v>1193</v>
      </c>
      <c r="H332" t="s">
        <v>1186</v>
      </c>
      <c r="I332" t="s">
        <v>1342</v>
      </c>
      <c r="K332" t="s">
        <v>1437</v>
      </c>
      <c r="L332">
        <v>2</v>
      </c>
      <c r="M332">
        <v>0</v>
      </c>
      <c r="N332">
        <v>0</v>
      </c>
      <c r="O332" t="s">
        <v>1441</v>
      </c>
      <c r="P332">
        <v>30000</v>
      </c>
      <c r="Q332">
        <v>10473</v>
      </c>
      <c r="R332" t="s">
        <v>1445</v>
      </c>
      <c r="S332" t="s">
        <v>1453</v>
      </c>
      <c r="U332" t="s">
        <v>1472</v>
      </c>
      <c r="V332" t="s">
        <v>1470</v>
      </c>
      <c r="Y332" t="s">
        <v>1502</v>
      </c>
      <c r="AA332" t="s">
        <v>1498</v>
      </c>
      <c r="AC332">
        <v>0</v>
      </c>
      <c r="AD332">
        <v>0</v>
      </c>
      <c r="AF332">
        <v>0</v>
      </c>
      <c r="AG332">
        <v>0</v>
      </c>
      <c r="AH332">
        <v>0</v>
      </c>
      <c r="AI332">
        <v>0</v>
      </c>
    </row>
    <row r="333" spans="1:35">
      <c r="A333" s="1">
        <f>HYPERLINK("https://lsnyc.legalserver.org/matter/dynamic-profile/view/1883329","18-1883329")</f>
        <v>0</v>
      </c>
      <c r="B333" t="s">
        <v>35</v>
      </c>
      <c r="C333" t="s">
        <v>41</v>
      </c>
      <c r="D333" t="s">
        <v>204</v>
      </c>
      <c r="E333" t="s">
        <v>706</v>
      </c>
      <c r="F333">
        <v>2094</v>
      </c>
      <c r="G333" t="s">
        <v>974</v>
      </c>
      <c r="H333" t="s">
        <v>1186</v>
      </c>
      <c r="I333" t="s">
        <v>1329</v>
      </c>
      <c r="K333" t="s">
        <v>1437</v>
      </c>
      <c r="L333">
        <v>1</v>
      </c>
      <c r="M333">
        <v>0</v>
      </c>
      <c r="N333">
        <v>0</v>
      </c>
      <c r="O333" t="s">
        <v>1440</v>
      </c>
      <c r="P333">
        <v>21528</v>
      </c>
      <c r="Q333">
        <v>10470</v>
      </c>
      <c r="R333" t="s">
        <v>1445</v>
      </c>
      <c r="S333" t="s">
        <v>1464</v>
      </c>
      <c r="U333" t="s">
        <v>1482</v>
      </c>
      <c r="V333" t="s">
        <v>1470</v>
      </c>
      <c r="Y333" t="s">
        <v>1514</v>
      </c>
      <c r="AA333" t="s">
        <v>1501</v>
      </c>
      <c r="AC333">
        <v>0</v>
      </c>
      <c r="AD333">
        <v>0</v>
      </c>
      <c r="AF333">
        <v>0</v>
      </c>
      <c r="AG333">
        <v>0</v>
      </c>
      <c r="AH333">
        <v>0</v>
      </c>
      <c r="AI333">
        <v>0</v>
      </c>
    </row>
    <row r="334" spans="1:35">
      <c r="A334" s="1">
        <f>HYPERLINK("https://lsnyc.legalserver.org/matter/dynamic-profile/view/1894485","19-1894485")</f>
        <v>0</v>
      </c>
      <c r="B334" t="s">
        <v>35</v>
      </c>
      <c r="C334" t="s">
        <v>41</v>
      </c>
      <c r="D334" t="s">
        <v>344</v>
      </c>
      <c r="E334" t="s">
        <v>768</v>
      </c>
      <c r="F334">
        <v>2094</v>
      </c>
      <c r="G334" t="s">
        <v>1194</v>
      </c>
      <c r="H334" t="s">
        <v>1186</v>
      </c>
      <c r="I334" t="s">
        <v>1338</v>
      </c>
      <c r="K334" t="s">
        <v>1437</v>
      </c>
      <c r="L334">
        <v>1</v>
      </c>
      <c r="M334">
        <v>0</v>
      </c>
      <c r="N334">
        <v>1</v>
      </c>
      <c r="O334" t="s">
        <v>1439</v>
      </c>
      <c r="P334">
        <v>37236</v>
      </c>
      <c r="Q334">
        <v>10462</v>
      </c>
      <c r="R334" t="s">
        <v>1445</v>
      </c>
      <c r="S334" t="s">
        <v>1453</v>
      </c>
      <c r="U334" t="s">
        <v>1474</v>
      </c>
      <c r="V334" t="s">
        <v>1470</v>
      </c>
      <c r="Y334" t="s">
        <v>1501</v>
      </c>
      <c r="AA334" t="s">
        <v>1505</v>
      </c>
      <c r="AC334">
        <v>0</v>
      </c>
      <c r="AD334">
        <v>0</v>
      </c>
      <c r="AF334">
        <v>0</v>
      </c>
      <c r="AG334">
        <v>0</v>
      </c>
      <c r="AH334">
        <v>0</v>
      </c>
      <c r="AI334">
        <v>0</v>
      </c>
    </row>
    <row r="335" spans="1:35">
      <c r="A335" s="1">
        <f>HYPERLINK("https://lsnyc.legalserver.org/matter/dynamic-profile/view/1910112","19-1910112")</f>
        <v>0</v>
      </c>
      <c r="B335" t="s">
        <v>35</v>
      </c>
      <c r="C335" t="s">
        <v>39</v>
      </c>
      <c r="D335" t="s">
        <v>345</v>
      </c>
      <c r="E335" t="s">
        <v>769</v>
      </c>
      <c r="F335">
        <v>2094</v>
      </c>
      <c r="G335" t="s">
        <v>1193</v>
      </c>
      <c r="H335" t="s">
        <v>1186</v>
      </c>
      <c r="I335" t="s">
        <v>1378</v>
      </c>
      <c r="K335" t="s">
        <v>1437</v>
      </c>
      <c r="L335">
        <v>1</v>
      </c>
      <c r="M335">
        <v>1</v>
      </c>
      <c r="N335">
        <v>0</v>
      </c>
      <c r="O335" t="s">
        <v>1441</v>
      </c>
      <c r="P335">
        <v>75400</v>
      </c>
      <c r="Q335">
        <v>10457</v>
      </c>
      <c r="R335" t="s">
        <v>1445</v>
      </c>
      <c r="S335" t="s">
        <v>1457</v>
      </c>
      <c r="U335" t="s">
        <v>1472</v>
      </c>
      <c r="V335" t="s">
        <v>1470</v>
      </c>
      <c r="Y335" t="s">
        <v>1502</v>
      </c>
      <c r="AA335" t="s">
        <v>1498</v>
      </c>
      <c r="AC335">
        <v>0</v>
      </c>
      <c r="AD335">
        <v>0</v>
      </c>
      <c r="AF335">
        <v>0</v>
      </c>
      <c r="AG335">
        <v>0</v>
      </c>
      <c r="AH335">
        <v>0</v>
      </c>
      <c r="AI335">
        <v>0</v>
      </c>
    </row>
    <row r="336" spans="1:35">
      <c r="A336" s="1">
        <f>HYPERLINK("https://lsnyc.legalserver.org/matter/dynamic-profile/view/1889773","19-1889773")</f>
        <v>0</v>
      </c>
      <c r="B336" t="s">
        <v>36</v>
      </c>
      <c r="C336" t="s">
        <v>40</v>
      </c>
      <c r="D336" t="s">
        <v>346</v>
      </c>
      <c r="E336" t="s">
        <v>770</v>
      </c>
      <c r="F336">
        <v>2093</v>
      </c>
      <c r="G336" t="s">
        <v>1126</v>
      </c>
      <c r="H336" t="s">
        <v>1184</v>
      </c>
      <c r="I336" t="s">
        <v>1331</v>
      </c>
      <c r="K336" t="s">
        <v>1437</v>
      </c>
      <c r="L336">
        <v>1</v>
      </c>
      <c r="M336">
        <v>0</v>
      </c>
      <c r="N336">
        <v>0</v>
      </c>
      <c r="O336" t="s">
        <v>1439</v>
      </c>
      <c r="P336">
        <v>8196</v>
      </c>
      <c r="Q336">
        <v>11414</v>
      </c>
      <c r="R336" t="s">
        <v>1446</v>
      </c>
      <c r="S336" t="s">
        <v>1454</v>
      </c>
      <c r="U336" t="s">
        <v>1472</v>
      </c>
      <c r="W336" t="s">
        <v>1490</v>
      </c>
      <c r="Y336" t="s">
        <v>1502</v>
      </c>
      <c r="AC336">
        <v>1488.8</v>
      </c>
      <c r="AD336">
        <v>0</v>
      </c>
      <c r="AF336">
        <v>0</v>
      </c>
      <c r="AG336">
        <v>0</v>
      </c>
      <c r="AH336">
        <v>0</v>
      </c>
      <c r="AI336">
        <v>0</v>
      </c>
    </row>
    <row r="337" spans="1:35">
      <c r="A337" s="1">
        <f>HYPERLINK("https://lsnyc.legalserver.org/matter/dynamic-profile/view/1906864","19-1906864")</f>
        <v>0</v>
      </c>
      <c r="B337" t="s">
        <v>36</v>
      </c>
      <c r="C337" t="s">
        <v>40</v>
      </c>
      <c r="D337" t="s">
        <v>123</v>
      </c>
      <c r="E337" t="s">
        <v>771</v>
      </c>
      <c r="F337">
        <v>2093</v>
      </c>
      <c r="G337" t="s">
        <v>1195</v>
      </c>
      <c r="H337" t="s">
        <v>1184</v>
      </c>
      <c r="I337" t="s">
        <v>1392</v>
      </c>
      <c r="K337" t="s">
        <v>1437</v>
      </c>
      <c r="L337">
        <v>2</v>
      </c>
      <c r="M337">
        <v>1</v>
      </c>
      <c r="N337">
        <v>1</v>
      </c>
      <c r="O337" t="s">
        <v>1441</v>
      </c>
      <c r="P337">
        <v>22048</v>
      </c>
      <c r="Q337">
        <v>11691</v>
      </c>
      <c r="R337" t="s">
        <v>1446</v>
      </c>
      <c r="S337" t="s">
        <v>1456</v>
      </c>
      <c r="U337" t="s">
        <v>1472</v>
      </c>
      <c r="Y337" t="s">
        <v>1502</v>
      </c>
      <c r="AC337">
        <v>0</v>
      </c>
      <c r="AD337">
        <v>0</v>
      </c>
      <c r="AF337">
        <v>0</v>
      </c>
      <c r="AG337">
        <v>0</v>
      </c>
      <c r="AH337">
        <v>0</v>
      </c>
      <c r="AI337">
        <v>0</v>
      </c>
    </row>
    <row r="338" spans="1:35">
      <c r="A338" s="1">
        <f>HYPERLINK("https://lsnyc.legalserver.org/matter/dynamic-profile/view/1907334","19-1907334")</f>
        <v>0</v>
      </c>
      <c r="B338" t="s">
        <v>36</v>
      </c>
      <c r="C338" t="s">
        <v>40</v>
      </c>
      <c r="D338" t="s">
        <v>252</v>
      </c>
      <c r="E338" t="s">
        <v>772</v>
      </c>
      <c r="F338">
        <v>2093</v>
      </c>
      <c r="G338" t="s">
        <v>1037</v>
      </c>
      <c r="H338" t="s">
        <v>994</v>
      </c>
      <c r="I338" t="s">
        <v>1347</v>
      </c>
      <c r="K338" t="s">
        <v>1437</v>
      </c>
      <c r="L338">
        <v>1</v>
      </c>
      <c r="M338">
        <v>0</v>
      </c>
      <c r="N338">
        <v>0</v>
      </c>
      <c r="O338" t="s">
        <v>1440</v>
      </c>
      <c r="P338">
        <v>40900</v>
      </c>
      <c r="Q338">
        <v>11361</v>
      </c>
      <c r="R338" t="s">
        <v>1446</v>
      </c>
      <c r="S338" t="s">
        <v>1454</v>
      </c>
      <c r="U338" t="s">
        <v>1470</v>
      </c>
      <c r="Y338" t="s">
        <v>1517</v>
      </c>
      <c r="AC338">
        <v>0</v>
      </c>
      <c r="AD338">
        <v>0</v>
      </c>
      <c r="AF338">
        <v>0</v>
      </c>
      <c r="AG338">
        <v>0</v>
      </c>
      <c r="AH338">
        <v>0</v>
      </c>
      <c r="AI338">
        <v>0</v>
      </c>
    </row>
    <row r="339" spans="1:35">
      <c r="A339" s="1">
        <f>HYPERLINK("https://lsnyc.legalserver.org/matter/dynamic-profile/view/1907930","19-1907930")</f>
        <v>0</v>
      </c>
      <c r="B339" t="s">
        <v>36</v>
      </c>
      <c r="C339" t="s">
        <v>40</v>
      </c>
      <c r="D339" t="s">
        <v>309</v>
      </c>
      <c r="E339" t="s">
        <v>773</v>
      </c>
      <c r="F339">
        <v>2093</v>
      </c>
      <c r="G339" t="s">
        <v>992</v>
      </c>
      <c r="H339" t="s">
        <v>1184</v>
      </c>
      <c r="I339" t="s">
        <v>1416</v>
      </c>
      <c r="K339" t="s">
        <v>1437</v>
      </c>
      <c r="L339">
        <v>2</v>
      </c>
      <c r="M339">
        <v>0</v>
      </c>
      <c r="N339">
        <v>0</v>
      </c>
      <c r="O339" t="s">
        <v>1440</v>
      </c>
      <c r="P339">
        <v>26400</v>
      </c>
      <c r="Q339">
        <v>11422</v>
      </c>
      <c r="R339" t="s">
        <v>1446</v>
      </c>
      <c r="S339" t="s">
        <v>1454</v>
      </c>
      <c r="U339" t="s">
        <v>1470</v>
      </c>
      <c r="Y339" t="s">
        <v>1498</v>
      </c>
      <c r="AC339">
        <v>0</v>
      </c>
      <c r="AD339">
        <v>0</v>
      </c>
      <c r="AF339">
        <v>0</v>
      </c>
      <c r="AG339">
        <v>0</v>
      </c>
      <c r="AH339">
        <v>0</v>
      </c>
      <c r="AI339">
        <v>0</v>
      </c>
    </row>
    <row r="340" spans="1:35">
      <c r="A340" s="1">
        <f>HYPERLINK("https://lsnyc.legalserver.org/matter/dynamic-profile/view/1908286","19-1908286")</f>
        <v>0</v>
      </c>
      <c r="B340" t="s">
        <v>36</v>
      </c>
      <c r="C340" t="s">
        <v>40</v>
      </c>
      <c r="D340" t="s">
        <v>222</v>
      </c>
      <c r="E340" t="s">
        <v>774</v>
      </c>
      <c r="F340">
        <v>2093</v>
      </c>
      <c r="G340" t="s">
        <v>1160</v>
      </c>
      <c r="H340" t="s">
        <v>1184</v>
      </c>
      <c r="I340" t="s">
        <v>1342</v>
      </c>
      <c r="K340" t="s">
        <v>1437</v>
      </c>
      <c r="L340">
        <v>1</v>
      </c>
      <c r="M340">
        <v>0</v>
      </c>
      <c r="N340">
        <v>1</v>
      </c>
      <c r="O340" t="s">
        <v>1440</v>
      </c>
      <c r="P340">
        <v>32544</v>
      </c>
      <c r="Q340">
        <v>11691</v>
      </c>
      <c r="R340" t="s">
        <v>1446</v>
      </c>
      <c r="S340" t="s">
        <v>1457</v>
      </c>
      <c r="U340" t="s">
        <v>1472</v>
      </c>
      <c r="Y340" t="s">
        <v>1502</v>
      </c>
      <c r="AC340">
        <v>0</v>
      </c>
      <c r="AD340">
        <v>0</v>
      </c>
      <c r="AF340">
        <v>0</v>
      </c>
      <c r="AG340">
        <v>0</v>
      </c>
      <c r="AH340">
        <v>0</v>
      </c>
      <c r="AI340">
        <v>0</v>
      </c>
    </row>
    <row r="341" spans="1:35">
      <c r="A341" s="1">
        <f>HYPERLINK("https://lsnyc.legalserver.org/matter/dynamic-profile/view/1909435","19-1909435")</f>
        <v>0</v>
      </c>
      <c r="B341" t="s">
        <v>36</v>
      </c>
      <c r="C341" t="s">
        <v>56</v>
      </c>
      <c r="D341" t="s">
        <v>151</v>
      </c>
      <c r="E341" t="s">
        <v>775</v>
      </c>
      <c r="F341">
        <v>2093</v>
      </c>
      <c r="G341" t="s">
        <v>1164</v>
      </c>
      <c r="H341" t="s">
        <v>1167</v>
      </c>
      <c r="I341" t="s">
        <v>1383</v>
      </c>
      <c r="K341" t="s">
        <v>1437</v>
      </c>
      <c r="L341">
        <v>1</v>
      </c>
      <c r="M341">
        <v>0</v>
      </c>
      <c r="N341">
        <v>1</v>
      </c>
      <c r="O341" t="s">
        <v>1440</v>
      </c>
      <c r="P341">
        <v>13848</v>
      </c>
      <c r="Q341">
        <v>11429</v>
      </c>
      <c r="R341" t="s">
        <v>1446</v>
      </c>
      <c r="S341" t="s">
        <v>1453</v>
      </c>
      <c r="U341" t="s">
        <v>1470</v>
      </c>
      <c r="Y341" t="s">
        <v>1498</v>
      </c>
      <c r="AC341">
        <v>0</v>
      </c>
      <c r="AD341">
        <v>0</v>
      </c>
      <c r="AF341">
        <v>0</v>
      </c>
      <c r="AG341">
        <v>0</v>
      </c>
      <c r="AH341">
        <v>0</v>
      </c>
      <c r="AI341">
        <v>0</v>
      </c>
    </row>
    <row r="342" spans="1:35">
      <c r="A342" s="1">
        <f>HYPERLINK("https://lsnyc.legalserver.org/matter/dynamic-profile/view/1910400","19-1910400")</f>
        <v>0</v>
      </c>
      <c r="B342" t="s">
        <v>36</v>
      </c>
      <c r="C342" t="s">
        <v>56</v>
      </c>
      <c r="D342" t="s">
        <v>347</v>
      </c>
      <c r="E342" t="s">
        <v>776</v>
      </c>
      <c r="F342">
        <v>2093</v>
      </c>
      <c r="G342" t="s">
        <v>1196</v>
      </c>
      <c r="H342" t="s">
        <v>1171</v>
      </c>
      <c r="I342" t="s">
        <v>1417</v>
      </c>
      <c r="K342" t="s">
        <v>1437</v>
      </c>
      <c r="L342">
        <v>1</v>
      </c>
      <c r="M342">
        <v>0</v>
      </c>
      <c r="N342">
        <v>2</v>
      </c>
      <c r="P342">
        <v>5200</v>
      </c>
      <c r="Q342">
        <v>11435</v>
      </c>
      <c r="R342" t="s">
        <v>1446</v>
      </c>
      <c r="S342" t="s">
        <v>1454</v>
      </c>
      <c r="U342" t="s">
        <v>1470</v>
      </c>
      <c r="Y342" t="s">
        <v>1498</v>
      </c>
      <c r="AC342">
        <v>0</v>
      </c>
      <c r="AD342">
        <v>0</v>
      </c>
      <c r="AF342">
        <v>0</v>
      </c>
      <c r="AG342">
        <v>0</v>
      </c>
      <c r="AH342">
        <v>0</v>
      </c>
      <c r="AI342">
        <v>0</v>
      </c>
    </row>
    <row r="343" spans="1:35">
      <c r="A343" s="1">
        <f>HYPERLINK("https://lsnyc.legalserver.org/matter/dynamic-profile/view/1912968","19-1912968")</f>
        <v>0</v>
      </c>
      <c r="B343" t="s">
        <v>36</v>
      </c>
      <c r="C343" t="s">
        <v>56</v>
      </c>
      <c r="D343" t="s">
        <v>348</v>
      </c>
      <c r="E343" t="s">
        <v>777</v>
      </c>
      <c r="F343">
        <v>2093</v>
      </c>
      <c r="G343" t="s">
        <v>1012</v>
      </c>
      <c r="H343" t="s">
        <v>1186</v>
      </c>
      <c r="I343" t="s">
        <v>1369</v>
      </c>
      <c r="K343" t="s">
        <v>1437</v>
      </c>
      <c r="L343">
        <v>4</v>
      </c>
      <c r="M343">
        <v>0</v>
      </c>
      <c r="N343">
        <v>0</v>
      </c>
      <c r="O343" t="s">
        <v>1441</v>
      </c>
      <c r="P343">
        <v>91364</v>
      </c>
      <c r="Q343">
        <v>11417</v>
      </c>
      <c r="R343" t="s">
        <v>1446</v>
      </c>
      <c r="S343" t="s">
        <v>1459</v>
      </c>
      <c r="U343" t="s">
        <v>1470</v>
      </c>
      <c r="Y343" t="s">
        <v>1498</v>
      </c>
      <c r="AC343">
        <v>0</v>
      </c>
      <c r="AD343">
        <v>0</v>
      </c>
      <c r="AF343">
        <v>0</v>
      </c>
      <c r="AG343">
        <v>0</v>
      </c>
      <c r="AH343">
        <v>0</v>
      </c>
      <c r="AI343">
        <v>0</v>
      </c>
    </row>
    <row r="344" spans="1:35">
      <c r="A344" s="1">
        <f>HYPERLINK("https://lsnyc.legalserver.org/matter/dynamic-profile/view/1913026","19-1913026")</f>
        <v>0</v>
      </c>
      <c r="B344" t="s">
        <v>36</v>
      </c>
      <c r="C344" t="s">
        <v>55</v>
      </c>
      <c r="D344" t="s">
        <v>349</v>
      </c>
      <c r="E344" t="s">
        <v>778</v>
      </c>
      <c r="F344">
        <v>2093</v>
      </c>
      <c r="G344" t="s">
        <v>1173</v>
      </c>
      <c r="H344" t="s">
        <v>1184</v>
      </c>
      <c r="K344" t="s">
        <v>1437</v>
      </c>
      <c r="L344">
        <v>1</v>
      </c>
      <c r="M344">
        <v>0</v>
      </c>
      <c r="N344">
        <v>0</v>
      </c>
      <c r="O344" t="s">
        <v>1440</v>
      </c>
      <c r="P344">
        <v>22140</v>
      </c>
      <c r="Q344">
        <v>11433</v>
      </c>
      <c r="R344" t="s">
        <v>1446</v>
      </c>
      <c r="S344" t="s">
        <v>1453</v>
      </c>
      <c r="U344" t="s">
        <v>1470</v>
      </c>
      <c r="Y344" t="s">
        <v>1498</v>
      </c>
      <c r="AC344">
        <v>0</v>
      </c>
      <c r="AD344">
        <v>0</v>
      </c>
      <c r="AF344">
        <v>0</v>
      </c>
      <c r="AG344">
        <v>0</v>
      </c>
      <c r="AH344">
        <v>0</v>
      </c>
      <c r="AI344">
        <v>0</v>
      </c>
    </row>
    <row r="345" spans="1:35">
      <c r="A345" s="1">
        <f>HYPERLINK("https://lsnyc.legalserver.org/matter/dynamic-profile/view/1890856","19-1890856")</f>
        <v>0</v>
      </c>
      <c r="B345" t="s">
        <v>35</v>
      </c>
      <c r="C345" t="s">
        <v>46</v>
      </c>
      <c r="D345" t="s">
        <v>275</v>
      </c>
      <c r="E345" t="s">
        <v>779</v>
      </c>
      <c r="F345">
        <v>2094</v>
      </c>
      <c r="G345" t="s">
        <v>1131</v>
      </c>
      <c r="H345" t="s">
        <v>1186</v>
      </c>
      <c r="I345" t="s">
        <v>1347</v>
      </c>
      <c r="K345" t="s">
        <v>1437</v>
      </c>
      <c r="L345">
        <v>3</v>
      </c>
      <c r="M345">
        <v>1</v>
      </c>
      <c r="N345">
        <v>0</v>
      </c>
      <c r="O345" t="s">
        <v>1440</v>
      </c>
      <c r="P345">
        <v>93368</v>
      </c>
      <c r="Q345">
        <v>10466</v>
      </c>
      <c r="R345" t="s">
        <v>1445</v>
      </c>
      <c r="S345" t="s">
        <v>1452</v>
      </c>
      <c r="U345" t="s">
        <v>1470</v>
      </c>
      <c r="V345" t="s">
        <v>1471</v>
      </c>
      <c r="W345" t="s">
        <v>1490</v>
      </c>
      <c r="Y345" t="s">
        <v>1500</v>
      </c>
      <c r="AC345">
        <v>2353</v>
      </c>
      <c r="AD345">
        <v>0</v>
      </c>
      <c r="AF345">
        <v>0</v>
      </c>
      <c r="AG345">
        <v>0</v>
      </c>
      <c r="AH345">
        <v>0</v>
      </c>
      <c r="AI345">
        <v>0</v>
      </c>
    </row>
    <row r="346" spans="1:35">
      <c r="A346" s="1">
        <f>HYPERLINK("https://lsnyc.legalserver.org/matter/dynamic-profile/view/1872606","18-1872606")</f>
        <v>0</v>
      </c>
      <c r="B346" t="s">
        <v>37</v>
      </c>
      <c r="C346" t="s">
        <v>58</v>
      </c>
      <c r="D346" t="s">
        <v>350</v>
      </c>
      <c r="E346" t="s">
        <v>506</v>
      </c>
      <c r="F346">
        <v>2091</v>
      </c>
      <c r="G346" t="s">
        <v>1197</v>
      </c>
      <c r="H346" t="s">
        <v>1310</v>
      </c>
      <c r="I346" t="s">
        <v>1331</v>
      </c>
      <c r="K346" t="s">
        <v>1437</v>
      </c>
      <c r="L346">
        <v>1</v>
      </c>
      <c r="M346">
        <v>0</v>
      </c>
      <c r="N346">
        <v>0</v>
      </c>
      <c r="P346">
        <v>47592</v>
      </c>
      <c r="Q346">
        <v>11207</v>
      </c>
      <c r="R346" t="s">
        <v>1447</v>
      </c>
      <c r="S346" t="s">
        <v>1452</v>
      </c>
      <c r="U346" t="s">
        <v>1475</v>
      </c>
      <c r="Y346" t="s">
        <v>1518</v>
      </c>
      <c r="AC346">
        <v>0</v>
      </c>
      <c r="AD346">
        <v>0</v>
      </c>
      <c r="AF346">
        <v>0</v>
      </c>
      <c r="AG346">
        <v>0</v>
      </c>
      <c r="AH346">
        <v>0</v>
      </c>
      <c r="AI346">
        <v>0</v>
      </c>
    </row>
    <row r="347" spans="1:35">
      <c r="A347" s="1">
        <f>HYPERLINK("https://lsnyc.legalserver.org/matter/dynamic-profile/view/1901739","19-1901739")</f>
        <v>0</v>
      </c>
      <c r="B347" t="s">
        <v>35</v>
      </c>
      <c r="C347" t="s">
        <v>41</v>
      </c>
      <c r="D347" t="s">
        <v>351</v>
      </c>
      <c r="E347" t="s">
        <v>780</v>
      </c>
      <c r="F347">
        <v>2094</v>
      </c>
      <c r="G347" t="s">
        <v>1198</v>
      </c>
      <c r="H347" t="s">
        <v>1313</v>
      </c>
      <c r="I347" t="s">
        <v>1340</v>
      </c>
      <c r="K347" t="s">
        <v>1437</v>
      </c>
      <c r="L347">
        <v>2</v>
      </c>
      <c r="M347">
        <v>0</v>
      </c>
      <c r="N347">
        <v>1</v>
      </c>
      <c r="O347" t="s">
        <v>1440</v>
      </c>
      <c r="P347">
        <v>33732</v>
      </c>
      <c r="Q347">
        <v>10466</v>
      </c>
      <c r="R347" t="s">
        <v>1445</v>
      </c>
      <c r="S347" t="s">
        <v>1454</v>
      </c>
      <c r="T347" t="s">
        <v>1453</v>
      </c>
      <c r="U347" t="s">
        <v>1472</v>
      </c>
      <c r="V347" t="s">
        <v>1470</v>
      </c>
      <c r="Y347" t="s">
        <v>1502</v>
      </c>
      <c r="AA347" t="s">
        <v>1498</v>
      </c>
      <c r="AC347">
        <v>0</v>
      </c>
      <c r="AD347">
        <v>0</v>
      </c>
      <c r="AF347">
        <v>0</v>
      </c>
      <c r="AG347">
        <v>0</v>
      </c>
      <c r="AH347">
        <v>0</v>
      </c>
      <c r="AI347">
        <v>0</v>
      </c>
    </row>
    <row r="348" spans="1:35">
      <c r="A348" s="1">
        <f>HYPERLINK("https://lsnyc.legalserver.org/matter/dynamic-profile/view/1913449","19-1913449")</f>
        <v>0</v>
      </c>
      <c r="B348" t="s">
        <v>36</v>
      </c>
      <c r="C348" t="s">
        <v>52</v>
      </c>
      <c r="D348" t="s">
        <v>352</v>
      </c>
      <c r="E348" t="s">
        <v>781</v>
      </c>
      <c r="F348">
        <v>2093</v>
      </c>
      <c r="G348" t="s">
        <v>1039</v>
      </c>
      <c r="H348" t="s">
        <v>1184</v>
      </c>
      <c r="K348" t="s">
        <v>1437</v>
      </c>
      <c r="L348">
        <v>4</v>
      </c>
      <c r="M348">
        <v>0</v>
      </c>
      <c r="N348">
        <v>0</v>
      </c>
      <c r="O348" t="s">
        <v>1440</v>
      </c>
      <c r="P348">
        <v>72366</v>
      </c>
      <c r="Q348">
        <v>11433</v>
      </c>
      <c r="R348" t="s">
        <v>1446</v>
      </c>
      <c r="U348" t="s">
        <v>1470</v>
      </c>
      <c r="Y348" t="s">
        <v>1498</v>
      </c>
      <c r="AC348">
        <v>0</v>
      </c>
      <c r="AD348">
        <v>0</v>
      </c>
      <c r="AF348">
        <v>0</v>
      </c>
      <c r="AG348">
        <v>0</v>
      </c>
      <c r="AH348">
        <v>0</v>
      </c>
      <c r="AI348">
        <v>0</v>
      </c>
    </row>
    <row r="349" spans="1:35">
      <c r="A349" s="1">
        <f>HYPERLINK("https://lsnyc.legalserver.org/matter/dynamic-profile/view/1912421","19-1912421")</f>
        <v>0</v>
      </c>
      <c r="B349" t="s">
        <v>37</v>
      </c>
      <c r="C349" t="s">
        <v>54</v>
      </c>
      <c r="D349" t="s">
        <v>353</v>
      </c>
      <c r="E349" t="s">
        <v>782</v>
      </c>
      <c r="F349">
        <v>2091</v>
      </c>
      <c r="G349" t="s">
        <v>1199</v>
      </c>
      <c r="H349" t="s">
        <v>1322</v>
      </c>
      <c r="K349" t="s">
        <v>1437</v>
      </c>
      <c r="L349">
        <v>3</v>
      </c>
      <c r="M349">
        <v>0</v>
      </c>
      <c r="N349">
        <v>0</v>
      </c>
      <c r="O349" t="s">
        <v>1441</v>
      </c>
      <c r="P349">
        <v>23880</v>
      </c>
      <c r="Q349">
        <v>7106</v>
      </c>
      <c r="R349" t="s">
        <v>1451</v>
      </c>
      <c r="S349" t="s">
        <v>1466</v>
      </c>
      <c r="U349" t="s">
        <v>1475</v>
      </c>
      <c r="AC349">
        <v>0</v>
      </c>
      <c r="AD349">
        <v>0</v>
      </c>
      <c r="AF349">
        <v>0</v>
      </c>
      <c r="AG349">
        <v>0</v>
      </c>
      <c r="AH349">
        <v>0</v>
      </c>
      <c r="AI349">
        <v>0</v>
      </c>
    </row>
    <row r="350" spans="1:35">
      <c r="A350" s="1">
        <f>HYPERLINK("https://lsnyc.legalserver.org/matter/dynamic-profile/view/1896114","19-1896114")</f>
        <v>0</v>
      </c>
      <c r="B350" t="s">
        <v>37</v>
      </c>
      <c r="C350" t="s">
        <v>64</v>
      </c>
      <c r="D350" t="s">
        <v>354</v>
      </c>
      <c r="E350" t="s">
        <v>783</v>
      </c>
      <c r="F350">
        <v>2091</v>
      </c>
      <c r="G350" t="s">
        <v>1200</v>
      </c>
      <c r="H350" t="s">
        <v>1321</v>
      </c>
      <c r="K350" t="s">
        <v>1437</v>
      </c>
      <c r="L350">
        <v>1</v>
      </c>
      <c r="M350">
        <v>0</v>
      </c>
      <c r="N350">
        <v>0</v>
      </c>
      <c r="O350" t="s">
        <v>1442</v>
      </c>
      <c r="P350">
        <v>19212</v>
      </c>
      <c r="Q350">
        <v>11211</v>
      </c>
      <c r="R350" t="s">
        <v>1447</v>
      </c>
      <c r="S350" t="s">
        <v>1462</v>
      </c>
      <c r="T350" t="s">
        <v>1466</v>
      </c>
      <c r="U350" t="s">
        <v>1475</v>
      </c>
      <c r="Y350" t="s">
        <v>1498</v>
      </c>
      <c r="AC350">
        <v>0</v>
      </c>
      <c r="AD350">
        <v>0</v>
      </c>
      <c r="AF350">
        <v>0</v>
      </c>
      <c r="AG350">
        <v>0</v>
      </c>
      <c r="AH350">
        <v>0</v>
      </c>
      <c r="AI350">
        <v>0</v>
      </c>
    </row>
    <row r="351" spans="1:35">
      <c r="A351" s="1">
        <f>HYPERLINK("https://lsnyc.legalserver.org/matter/dynamic-profile/view/1911072","19-1911072")</f>
        <v>0</v>
      </c>
      <c r="B351" t="s">
        <v>37</v>
      </c>
      <c r="C351" t="s">
        <v>42</v>
      </c>
      <c r="D351" t="s">
        <v>355</v>
      </c>
      <c r="E351" t="s">
        <v>784</v>
      </c>
      <c r="F351">
        <v>2091</v>
      </c>
      <c r="G351" t="s">
        <v>1166</v>
      </c>
      <c r="H351" t="s">
        <v>1322</v>
      </c>
      <c r="K351" t="s">
        <v>1437</v>
      </c>
      <c r="L351">
        <v>2</v>
      </c>
      <c r="M351">
        <v>3</v>
      </c>
      <c r="N351">
        <v>1</v>
      </c>
      <c r="O351" t="s">
        <v>1442</v>
      </c>
      <c r="P351">
        <v>12528</v>
      </c>
      <c r="Q351">
        <v>11215</v>
      </c>
      <c r="R351" t="s">
        <v>1447</v>
      </c>
      <c r="S351" t="s">
        <v>1460</v>
      </c>
      <c r="T351" t="s">
        <v>1457</v>
      </c>
      <c r="U351" t="s">
        <v>1472</v>
      </c>
      <c r="Y351" t="s">
        <v>1502</v>
      </c>
      <c r="AA351" t="s">
        <v>1498</v>
      </c>
      <c r="AC351">
        <v>0</v>
      </c>
      <c r="AD351">
        <v>0</v>
      </c>
      <c r="AF351">
        <v>0</v>
      </c>
      <c r="AG351">
        <v>0</v>
      </c>
      <c r="AH351">
        <v>0</v>
      </c>
      <c r="AI351">
        <v>0</v>
      </c>
    </row>
    <row r="352" spans="1:35">
      <c r="A352" s="1">
        <f>HYPERLINK("https://lsnyc.legalserver.org/matter/dynamic-profile/view/1889844","19-1889844")</f>
        <v>0</v>
      </c>
      <c r="B352" t="s">
        <v>38</v>
      </c>
      <c r="C352" t="s">
        <v>44</v>
      </c>
      <c r="D352" t="s">
        <v>356</v>
      </c>
      <c r="E352" t="s">
        <v>785</v>
      </c>
      <c r="F352">
        <v>2090</v>
      </c>
      <c r="G352" t="s">
        <v>1130</v>
      </c>
      <c r="H352" t="s">
        <v>1316</v>
      </c>
      <c r="I352" t="s">
        <v>1342</v>
      </c>
      <c r="K352" t="s">
        <v>1437</v>
      </c>
      <c r="L352">
        <v>2</v>
      </c>
      <c r="M352">
        <v>1</v>
      </c>
      <c r="N352">
        <v>0</v>
      </c>
      <c r="P352">
        <v>72000</v>
      </c>
      <c r="Q352">
        <v>10310</v>
      </c>
      <c r="R352" t="s">
        <v>1448</v>
      </c>
      <c r="S352" t="s">
        <v>1458</v>
      </c>
      <c r="T352" t="s">
        <v>1459</v>
      </c>
      <c r="U352" t="s">
        <v>1470</v>
      </c>
      <c r="Y352" t="s">
        <v>1498</v>
      </c>
      <c r="AC352">
        <v>0</v>
      </c>
      <c r="AD352">
        <v>0</v>
      </c>
      <c r="AF352">
        <v>0</v>
      </c>
      <c r="AG352">
        <v>0</v>
      </c>
      <c r="AH352">
        <v>0</v>
      </c>
      <c r="AI352">
        <v>0</v>
      </c>
    </row>
    <row r="353" spans="1:35">
      <c r="A353" s="1">
        <f>HYPERLINK("https://lsnyc.legalserver.org/matter/dynamic-profile/view/1904866","19-1904866")</f>
        <v>0</v>
      </c>
      <c r="B353" t="s">
        <v>36</v>
      </c>
      <c r="C353" t="s">
        <v>52</v>
      </c>
      <c r="D353" t="s">
        <v>357</v>
      </c>
      <c r="E353" t="s">
        <v>786</v>
      </c>
      <c r="F353">
        <v>2093</v>
      </c>
      <c r="G353" t="s">
        <v>971</v>
      </c>
      <c r="H353" t="s">
        <v>1316</v>
      </c>
      <c r="I353" t="s">
        <v>1369</v>
      </c>
      <c r="K353" t="s">
        <v>1437</v>
      </c>
      <c r="L353">
        <v>1</v>
      </c>
      <c r="M353">
        <v>0</v>
      </c>
      <c r="N353">
        <v>1</v>
      </c>
      <c r="O353" t="s">
        <v>1440</v>
      </c>
      <c r="P353">
        <v>2470</v>
      </c>
      <c r="Q353">
        <v>11416</v>
      </c>
      <c r="R353" t="s">
        <v>1446</v>
      </c>
      <c r="S353" t="s">
        <v>1454</v>
      </c>
      <c r="U353" t="s">
        <v>1470</v>
      </c>
      <c r="Y353" t="s">
        <v>1498</v>
      </c>
      <c r="AC353">
        <v>0</v>
      </c>
      <c r="AD353">
        <v>0</v>
      </c>
      <c r="AF353">
        <v>0</v>
      </c>
      <c r="AG353">
        <v>0</v>
      </c>
      <c r="AH353">
        <v>0</v>
      </c>
      <c r="AI353">
        <v>0</v>
      </c>
    </row>
    <row r="354" spans="1:35">
      <c r="A354" s="1">
        <f>HYPERLINK("https://lsnyc.legalserver.org/matter/dynamic-profile/view/1887421","19-1887421")</f>
        <v>0</v>
      </c>
      <c r="B354" t="s">
        <v>38</v>
      </c>
      <c r="C354" t="s">
        <v>53</v>
      </c>
      <c r="D354" t="s">
        <v>358</v>
      </c>
      <c r="E354" t="s">
        <v>787</v>
      </c>
      <c r="F354">
        <v>2090</v>
      </c>
      <c r="G354" t="s">
        <v>1201</v>
      </c>
      <c r="H354" t="s">
        <v>1315</v>
      </c>
      <c r="I354" t="s">
        <v>1337</v>
      </c>
      <c r="K354" t="s">
        <v>1437</v>
      </c>
      <c r="L354">
        <v>3</v>
      </c>
      <c r="M354">
        <v>1</v>
      </c>
      <c r="N354">
        <v>0</v>
      </c>
      <c r="P354">
        <v>102800</v>
      </c>
      <c r="Q354">
        <v>10301</v>
      </c>
      <c r="R354" t="s">
        <v>1448</v>
      </c>
      <c r="S354" t="s">
        <v>1465</v>
      </c>
      <c r="T354" t="s">
        <v>1456</v>
      </c>
      <c r="U354" t="s">
        <v>1473</v>
      </c>
      <c r="V354" t="s">
        <v>1472</v>
      </c>
      <c r="Y354" t="s">
        <v>1502</v>
      </c>
      <c r="AA354" t="s">
        <v>1498</v>
      </c>
      <c r="AC354">
        <v>0</v>
      </c>
      <c r="AD354">
        <v>0</v>
      </c>
      <c r="AF354">
        <v>0</v>
      </c>
      <c r="AG354">
        <v>0</v>
      </c>
      <c r="AH354">
        <v>0</v>
      </c>
      <c r="AI354">
        <v>0</v>
      </c>
    </row>
    <row r="355" spans="1:35">
      <c r="A355" s="1">
        <f>HYPERLINK("https://lsnyc.legalserver.org/matter/dynamic-profile/view/1894989","19-1894989")</f>
        <v>0</v>
      </c>
      <c r="B355" t="s">
        <v>38</v>
      </c>
      <c r="C355" t="s">
        <v>45</v>
      </c>
      <c r="D355" t="s">
        <v>359</v>
      </c>
      <c r="E355" t="s">
        <v>788</v>
      </c>
      <c r="F355">
        <v>2090</v>
      </c>
      <c r="G355" t="s">
        <v>1202</v>
      </c>
      <c r="H355" t="s">
        <v>1315</v>
      </c>
      <c r="I355" t="s">
        <v>1380</v>
      </c>
      <c r="J355" t="s">
        <v>1369</v>
      </c>
      <c r="K355" t="s">
        <v>1437</v>
      </c>
      <c r="L355">
        <v>2</v>
      </c>
      <c r="M355">
        <v>0</v>
      </c>
      <c r="N355">
        <v>0</v>
      </c>
      <c r="P355">
        <v>91200</v>
      </c>
      <c r="Q355">
        <v>10312</v>
      </c>
      <c r="R355" t="s">
        <v>1448</v>
      </c>
      <c r="S355" t="s">
        <v>1458</v>
      </c>
      <c r="T355" t="s">
        <v>1460</v>
      </c>
      <c r="U355" t="s">
        <v>1475</v>
      </c>
      <c r="Y355" t="s">
        <v>1498</v>
      </c>
      <c r="AC355">
        <v>0</v>
      </c>
      <c r="AD355">
        <v>0</v>
      </c>
      <c r="AF355">
        <v>0</v>
      </c>
      <c r="AG355">
        <v>0</v>
      </c>
      <c r="AH355">
        <v>0</v>
      </c>
      <c r="AI355">
        <v>0</v>
      </c>
    </row>
    <row r="356" spans="1:35">
      <c r="A356" s="1">
        <f>HYPERLINK("https://lsnyc.legalserver.org/matter/dynamic-profile/view/1915603","19-1915603")</f>
        <v>0</v>
      </c>
      <c r="B356" t="s">
        <v>36</v>
      </c>
      <c r="C356" t="s">
        <v>52</v>
      </c>
      <c r="D356" t="s">
        <v>360</v>
      </c>
      <c r="E356" t="s">
        <v>789</v>
      </c>
      <c r="F356">
        <v>2093</v>
      </c>
      <c r="G356" t="s">
        <v>1183</v>
      </c>
      <c r="H356" t="s">
        <v>1317</v>
      </c>
      <c r="K356" t="s">
        <v>1437</v>
      </c>
      <c r="L356">
        <v>2</v>
      </c>
      <c r="M356">
        <v>1</v>
      </c>
      <c r="N356">
        <v>0</v>
      </c>
      <c r="O356" t="s">
        <v>1440</v>
      </c>
      <c r="P356">
        <v>109200</v>
      </c>
      <c r="Q356">
        <v>11420</v>
      </c>
      <c r="R356" t="s">
        <v>1446</v>
      </c>
      <c r="S356" t="s">
        <v>1459</v>
      </c>
      <c r="U356" t="s">
        <v>1470</v>
      </c>
      <c r="Y356" t="s">
        <v>1498</v>
      </c>
      <c r="AC356">
        <v>0</v>
      </c>
      <c r="AD356">
        <v>0</v>
      </c>
      <c r="AF356">
        <v>0</v>
      </c>
      <c r="AG356">
        <v>0</v>
      </c>
      <c r="AH356">
        <v>0</v>
      </c>
      <c r="AI356">
        <v>0</v>
      </c>
    </row>
    <row r="357" spans="1:35">
      <c r="A357" s="1">
        <f>HYPERLINK("https://lsnyc.legalserver.org/matter/dynamic-profile/view/6001753","Q10E-66001753")</f>
        <v>0</v>
      </c>
      <c r="B357" t="s">
        <v>36</v>
      </c>
      <c r="C357" t="s">
        <v>59</v>
      </c>
      <c r="D357" t="s">
        <v>361</v>
      </c>
      <c r="E357" t="s">
        <v>790</v>
      </c>
      <c r="F357">
        <v>2093</v>
      </c>
      <c r="G357" t="s">
        <v>1203</v>
      </c>
      <c r="H357" t="s">
        <v>1176</v>
      </c>
      <c r="I357" t="s">
        <v>1347</v>
      </c>
      <c r="K357" t="s">
        <v>1437</v>
      </c>
      <c r="L357">
        <v>1</v>
      </c>
      <c r="M357">
        <v>1</v>
      </c>
      <c r="N357">
        <v>1</v>
      </c>
      <c r="O357" t="s">
        <v>1440</v>
      </c>
      <c r="P357">
        <v>13200</v>
      </c>
      <c r="Q357">
        <v>11434</v>
      </c>
      <c r="R357" t="s">
        <v>1446</v>
      </c>
      <c r="S357" t="s">
        <v>1454</v>
      </c>
      <c r="U357" t="s">
        <v>1478</v>
      </c>
      <c r="Y357" t="s">
        <v>1501</v>
      </c>
      <c r="AA357" t="s">
        <v>1524</v>
      </c>
      <c r="AC357">
        <v>0</v>
      </c>
      <c r="AD357">
        <v>0</v>
      </c>
      <c r="AE357">
        <v>10500</v>
      </c>
      <c r="AF357">
        <v>0</v>
      </c>
      <c r="AG357">
        <v>0</v>
      </c>
      <c r="AH357">
        <v>0</v>
      </c>
      <c r="AI357">
        <v>0</v>
      </c>
    </row>
    <row r="358" spans="1:35">
      <c r="A358" s="1">
        <f>HYPERLINK("https://lsnyc.legalserver.org/matter/dynamic-profile/view/0730875","13-0730875")</f>
        <v>0</v>
      </c>
      <c r="B358" t="s">
        <v>37</v>
      </c>
      <c r="C358" t="s">
        <v>42</v>
      </c>
      <c r="D358" t="s">
        <v>266</v>
      </c>
      <c r="E358" t="s">
        <v>791</v>
      </c>
      <c r="F358">
        <v>2091</v>
      </c>
      <c r="G358" t="s">
        <v>1204</v>
      </c>
      <c r="H358" t="s">
        <v>1118</v>
      </c>
      <c r="I358" t="s">
        <v>1332</v>
      </c>
      <c r="J358" t="s">
        <v>1421</v>
      </c>
      <c r="K358" t="s">
        <v>1437</v>
      </c>
      <c r="L358">
        <v>2</v>
      </c>
      <c r="M358">
        <v>0</v>
      </c>
      <c r="N358">
        <v>1</v>
      </c>
      <c r="O358" t="s">
        <v>1442</v>
      </c>
      <c r="P358">
        <v>56860</v>
      </c>
      <c r="Q358">
        <v>11220</v>
      </c>
      <c r="R358" t="s">
        <v>1447</v>
      </c>
      <c r="S358" t="s">
        <v>1459</v>
      </c>
      <c r="T358" t="s">
        <v>1454</v>
      </c>
      <c r="U358" t="s">
        <v>1485</v>
      </c>
      <c r="V358" t="s">
        <v>1471</v>
      </c>
      <c r="W358" t="s">
        <v>1492</v>
      </c>
      <c r="Y358" t="s">
        <v>1498</v>
      </c>
      <c r="AA358" t="s">
        <v>1501</v>
      </c>
      <c r="AC358">
        <v>0</v>
      </c>
      <c r="AD358">
        <v>0</v>
      </c>
      <c r="AF358">
        <v>0</v>
      </c>
      <c r="AG358">
        <v>0</v>
      </c>
      <c r="AH358">
        <v>0</v>
      </c>
      <c r="AI358">
        <v>0</v>
      </c>
    </row>
    <row r="359" spans="1:35">
      <c r="A359" s="1">
        <f>HYPERLINK("https://lsnyc.legalserver.org/matter/dynamic-profile/view/0778431","15-0778431")</f>
        <v>0</v>
      </c>
      <c r="B359" t="s">
        <v>37</v>
      </c>
      <c r="C359" t="s">
        <v>42</v>
      </c>
      <c r="D359" t="s">
        <v>362</v>
      </c>
      <c r="E359" t="s">
        <v>792</v>
      </c>
      <c r="F359">
        <v>2091</v>
      </c>
      <c r="G359" t="s">
        <v>1205</v>
      </c>
      <c r="H359" t="s">
        <v>1252</v>
      </c>
      <c r="K359" t="s">
        <v>1437</v>
      </c>
      <c r="L359">
        <v>1</v>
      </c>
      <c r="M359">
        <v>0</v>
      </c>
      <c r="N359">
        <v>1</v>
      </c>
      <c r="P359">
        <v>700</v>
      </c>
      <c r="Q359">
        <v>11216</v>
      </c>
      <c r="R359" t="s">
        <v>1447</v>
      </c>
      <c r="S359" t="s">
        <v>1466</v>
      </c>
      <c r="U359" t="s">
        <v>1478</v>
      </c>
      <c r="Y359" t="s">
        <v>1512</v>
      </c>
      <c r="AC359">
        <v>0</v>
      </c>
      <c r="AD359">
        <v>0</v>
      </c>
      <c r="AF359">
        <v>0</v>
      </c>
      <c r="AG359">
        <v>0</v>
      </c>
      <c r="AH359">
        <v>0</v>
      </c>
      <c r="AI359">
        <v>0</v>
      </c>
    </row>
    <row r="360" spans="1:35">
      <c r="A360" s="1">
        <f>HYPERLINK("https://lsnyc.legalserver.org/matter/dynamic-profile/view/0782452","15-0782452")</f>
        <v>0</v>
      </c>
      <c r="B360" t="s">
        <v>35</v>
      </c>
      <c r="C360" t="s">
        <v>43</v>
      </c>
      <c r="D360" t="s">
        <v>363</v>
      </c>
      <c r="E360" t="s">
        <v>793</v>
      </c>
      <c r="F360">
        <v>2094</v>
      </c>
      <c r="G360" t="s">
        <v>1206</v>
      </c>
      <c r="H360" t="s">
        <v>989</v>
      </c>
      <c r="I360" t="s">
        <v>1369</v>
      </c>
      <c r="K360" t="s">
        <v>1437</v>
      </c>
      <c r="L360">
        <v>2</v>
      </c>
      <c r="M360">
        <v>0</v>
      </c>
      <c r="N360">
        <v>0</v>
      </c>
      <c r="O360" t="s">
        <v>1440</v>
      </c>
      <c r="P360">
        <v>86691.53999999999</v>
      </c>
      <c r="Q360">
        <v>10472</v>
      </c>
      <c r="R360" t="s">
        <v>1445</v>
      </c>
      <c r="S360" t="s">
        <v>1456</v>
      </c>
      <c r="U360" t="s">
        <v>1473</v>
      </c>
      <c r="V360" t="s">
        <v>1471</v>
      </c>
      <c r="W360" t="s">
        <v>1492</v>
      </c>
      <c r="Y360" t="s">
        <v>1498</v>
      </c>
      <c r="AA360" t="s">
        <v>1501</v>
      </c>
      <c r="AC360">
        <v>2125.17</v>
      </c>
      <c r="AD360">
        <v>0</v>
      </c>
      <c r="AF360">
        <v>0</v>
      </c>
      <c r="AG360">
        <v>0</v>
      </c>
      <c r="AH360">
        <v>0</v>
      </c>
      <c r="AI360">
        <v>0</v>
      </c>
    </row>
    <row r="361" spans="1:35">
      <c r="A361" s="1">
        <f>HYPERLINK("https://lsnyc.legalserver.org/matter/dynamic-profile/view/0787174","15-0787174")</f>
        <v>0</v>
      </c>
      <c r="B361" t="s">
        <v>37</v>
      </c>
      <c r="C361" t="s">
        <v>41</v>
      </c>
      <c r="D361" t="s">
        <v>105</v>
      </c>
      <c r="E361" t="s">
        <v>794</v>
      </c>
      <c r="F361">
        <v>2091</v>
      </c>
      <c r="G361" t="s">
        <v>1207</v>
      </c>
      <c r="H361" t="s">
        <v>1188</v>
      </c>
      <c r="I361" t="s">
        <v>1394</v>
      </c>
      <c r="K361" t="s">
        <v>1437</v>
      </c>
      <c r="L361">
        <v>2</v>
      </c>
      <c r="M361">
        <v>0</v>
      </c>
      <c r="N361">
        <v>0</v>
      </c>
      <c r="O361" t="s">
        <v>1441</v>
      </c>
      <c r="P361">
        <v>69200</v>
      </c>
      <c r="Q361">
        <v>11234</v>
      </c>
      <c r="R361" t="s">
        <v>1447</v>
      </c>
      <c r="S361" t="s">
        <v>1454</v>
      </c>
      <c r="U361" t="s">
        <v>1478</v>
      </c>
      <c r="V361" t="s">
        <v>1470</v>
      </c>
      <c r="W361" t="s">
        <v>1492</v>
      </c>
      <c r="Y361" t="s">
        <v>1502</v>
      </c>
      <c r="AA361" t="s">
        <v>1501</v>
      </c>
      <c r="AC361">
        <v>0</v>
      </c>
      <c r="AD361">
        <v>0</v>
      </c>
      <c r="AF361">
        <v>0</v>
      </c>
      <c r="AG361">
        <v>0</v>
      </c>
      <c r="AH361">
        <v>0</v>
      </c>
      <c r="AI361">
        <v>0</v>
      </c>
    </row>
    <row r="362" spans="1:35">
      <c r="A362" s="1">
        <f>HYPERLINK("https://lsnyc.legalserver.org/matter/dynamic-profile/view/0795597","16-0795597")</f>
        <v>0</v>
      </c>
      <c r="B362" t="s">
        <v>35</v>
      </c>
      <c r="C362" t="s">
        <v>43</v>
      </c>
      <c r="D362" t="s">
        <v>364</v>
      </c>
      <c r="E362" t="s">
        <v>795</v>
      </c>
      <c r="F362">
        <v>2094</v>
      </c>
      <c r="G362" t="s">
        <v>1208</v>
      </c>
      <c r="H362" t="s">
        <v>1322</v>
      </c>
      <c r="I362" t="s">
        <v>1369</v>
      </c>
      <c r="K362" t="s">
        <v>1437</v>
      </c>
      <c r="L362">
        <v>1</v>
      </c>
      <c r="M362">
        <v>0</v>
      </c>
      <c r="N362">
        <v>0</v>
      </c>
      <c r="O362" t="s">
        <v>1442</v>
      </c>
      <c r="P362">
        <v>127936</v>
      </c>
      <c r="Q362">
        <v>10457</v>
      </c>
      <c r="R362" t="s">
        <v>1445</v>
      </c>
      <c r="S362" t="s">
        <v>1454</v>
      </c>
      <c r="T362" t="s">
        <v>1458</v>
      </c>
      <c r="U362" t="s">
        <v>1471</v>
      </c>
      <c r="V362" t="s">
        <v>1486</v>
      </c>
      <c r="W362" t="s">
        <v>1490</v>
      </c>
      <c r="Y362" t="s">
        <v>1498</v>
      </c>
      <c r="AA362" t="s">
        <v>1500</v>
      </c>
      <c r="AC362">
        <v>3274.02</v>
      </c>
      <c r="AD362">
        <v>0</v>
      </c>
      <c r="AF362">
        <v>0</v>
      </c>
      <c r="AG362">
        <v>0</v>
      </c>
      <c r="AH362">
        <v>0</v>
      </c>
      <c r="AI362">
        <v>0</v>
      </c>
    </row>
    <row r="363" spans="1:35">
      <c r="A363" s="1">
        <f>HYPERLINK("https://lsnyc.legalserver.org/matter/dynamic-profile/view/0801061","16-0801061")</f>
        <v>0</v>
      </c>
      <c r="B363" t="s">
        <v>35</v>
      </c>
      <c r="C363" t="s">
        <v>46</v>
      </c>
      <c r="D363" t="s">
        <v>365</v>
      </c>
      <c r="E363" t="s">
        <v>796</v>
      </c>
      <c r="F363">
        <v>2094</v>
      </c>
      <c r="G363" t="s">
        <v>1209</v>
      </c>
      <c r="H363" t="s">
        <v>1186</v>
      </c>
      <c r="I363" t="s">
        <v>1329</v>
      </c>
      <c r="K363" t="s">
        <v>1437</v>
      </c>
      <c r="L363">
        <v>1</v>
      </c>
      <c r="M363">
        <v>0</v>
      </c>
      <c r="N363">
        <v>1</v>
      </c>
      <c r="O363" t="s">
        <v>1442</v>
      </c>
      <c r="P363">
        <v>23124</v>
      </c>
      <c r="Q363">
        <v>10455</v>
      </c>
      <c r="R363" t="s">
        <v>1445</v>
      </c>
      <c r="S363" t="s">
        <v>1466</v>
      </c>
      <c r="U363" t="s">
        <v>1478</v>
      </c>
      <c r="V363" t="s">
        <v>1470</v>
      </c>
      <c r="Y363" t="s">
        <v>1498</v>
      </c>
      <c r="AC363">
        <v>0</v>
      </c>
      <c r="AD363">
        <v>0</v>
      </c>
      <c r="AF363">
        <v>0</v>
      </c>
      <c r="AG363">
        <v>0</v>
      </c>
      <c r="AH363">
        <v>0</v>
      </c>
      <c r="AI363">
        <v>0</v>
      </c>
    </row>
    <row r="364" spans="1:35">
      <c r="A364" s="1">
        <f>HYPERLINK("https://lsnyc.legalserver.org/matter/dynamic-profile/view/0802173","16-0802173")</f>
        <v>0</v>
      </c>
      <c r="B364" t="s">
        <v>35</v>
      </c>
      <c r="C364" t="s">
        <v>43</v>
      </c>
      <c r="D364" t="s">
        <v>336</v>
      </c>
      <c r="E364" t="s">
        <v>676</v>
      </c>
      <c r="F364">
        <v>2094</v>
      </c>
      <c r="G364" t="s">
        <v>1210</v>
      </c>
      <c r="H364" t="s">
        <v>1320</v>
      </c>
      <c r="I364" t="s">
        <v>1337</v>
      </c>
      <c r="K364" t="s">
        <v>1437</v>
      </c>
      <c r="L364">
        <v>1</v>
      </c>
      <c r="M364">
        <v>0</v>
      </c>
      <c r="N364">
        <v>1</v>
      </c>
      <c r="O364" t="s">
        <v>1440</v>
      </c>
      <c r="P364">
        <v>24000</v>
      </c>
      <c r="Q364">
        <v>10469</v>
      </c>
      <c r="R364" t="s">
        <v>1445</v>
      </c>
      <c r="S364" t="s">
        <v>1453</v>
      </c>
      <c r="U364" t="s">
        <v>1472</v>
      </c>
      <c r="V364" t="s">
        <v>1486</v>
      </c>
      <c r="W364" t="s">
        <v>1490</v>
      </c>
      <c r="Y364" t="s">
        <v>1502</v>
      </c>
      <c r="AA364" t="s">
        <v>1500</v>
      </c>
      <c r="AC364">
        <v>789.13</v>
      </c>
      <c r="AD364">
        <v>710.03</v>
      </c>
      <c r="AF364">
        <v>0</v>
      </c>
      <c r="AG364">
        <v>0</v>
      </c>
      <c r="AH364">
        <v>0</v>
      </c>
      <c r="AI364">
        <v>0</v>
      </c>
    </row>
    <row r="365" spans="1:35">
      <c r="A365" s="1">
        <f>HYPERLINK("https://lsnyc.legalserver.org/matter/dynamic-profile/view/0802265","16-0802265")</f>
        <v>0</v>
      </c>
      <c r="B365" t="s">
        <v>36</v>
      </c>
      <c r="C365" t="s">
        <v>49</v>
      </c>
      <c r="D365" t="s">
        <v>366</v>
      </c>
      <c r="E365" t="s">
        <v>797</v>
      </c>
      <c r="F365">
        <v>2093</v>
      </c>
      <c r="G365" t="s">
        <v>1210</v>
      </c>
      <c r="H365" t="s">
        <v>1186</v>
      </c>
      <c r="I365" t="s">
        <v>1369</v>
      </c>
      <c r="K365" t="s">
        <v>1437</v>
      </c>
      <c r="L365">
        <v>1</v>
      </c>
      <c r="M365">
        <v>0</v>
      </c>
      <c r="N365">
        <v>0</v>
      </c>
      <c r="O365" t="s">
        <v>1441</v>
      </c>
      <c r="P365">
        <v>0</v>
      </c>
      <c r="Q365">
        <v>11435</v>
      </c>
      <c r="R365" t="s">
        <v>1446</v>
      </c>
      <c r="S365" t="s">
        <v>1455</v>
      </c>
      <c r="U365" t="s">
        <v>1472</v>
      </c>
      <c r="V365" t="s">
        <v>1475</v>
      </c>
      <c r="Y365" t="s">
        <v>1509</v>
      </c>
      <c r="AA365" t="s">
        <v>1501</v>
      </c>
      <c r="AC365">
        <v>0</v>
      </c>
      <c r="AD365">
        <v>0</v>
      </c>
      <c r="AF365">
        <v>0</v>
      </c>
      <c r="AG365">
        <v>0</v>
      </c>
      <c r="AH365">
        <v>0</v>
      </c>
      <c r="AI365">
        <v>0</v>
      </c>
    </row>
    <row r="366" spans="1:35">
      <c r="A366" s="1">
        <f>HYPERLINK("https://lsnyc.legalserver.org/matter/dynamic-profile/view/0811335","16-0811335")</f>
        <v>0</v>
      </c>
      <c r="B366" t="s">
        <v>36</v>
      </c>
      <c r="C366" t="s">
        <v>60</v>
      </c>
      <c r="D366" t="s">
        <v>367</v>
      </c>
      <c r="E366" t="s">
        <v>798</v>
      </c>
      <c r="F366">
        <v>2093</v>
      </c>
      <c r="G366" t="s">
        <v>1211</v>
      </c>
      <c r="H366" t="s">
        <v>1323</v>
      </c>
      <c r="I366" t="s">
        <v>1353</v>
      </c>
      <c r="J366" t="s">
        <v>1361</v>
      </c>
      <c r="K366" t="s">
        <v>1437</v>
      </c>
      <c r="L366">
        <v>3</v>
      </c>
      <c r="M366">
        <v>0</v>
      </c>
      <c r="N366">
        <v>0</v>
      </c>
      <c r="O366" t="s">
        <v>1440</v>
      </c>
      <c r="P366">
        <v>27600</v>
      </c>
      <c r="Q366">
        <v>11419</v>
      </c>
      <c r="R366" t="s">
        <v>1446</v>
      </c>
      <c r="S366" t="s">
        <v>1459</v>
      </c>
      <c r="U366" t="s">
        <v>1478</v>
      </c>
      <c r="Y366" t="s">
        <v>1498</v>
      </c>
      <c r="AC366">
        <v>0</v>
      </c>
      <c r="AD366">
        <v>0</v>
      </c>
      <c r="AF366">
        <v>0</v>
      </c>
      <c r="AG366">
        <v>0</v>
      </c>
      <c r="AH366">
        <v>0</v>
      </c>
      <c r="AI366">
        <v>0</v>
      </c>
    </row>
    <row r="367" spans="1:35">
      <c r="A367" s="1">
        <f>HYPERLINK("https://lsnyc.legalserver.org/matter/dynamic-profile/view/0813185","16-0813185")</f>
        <v>0</v>
      </c>
      <c r="B367" t="s">
        <v>36</v>
      </c>
      <c r="C367" t="s">
        <v>55</v>
      </c>
      <c r="D367" t="s">
        <v>368</v>
      </c>
      <c r="E367" t="s">
        <v>799</v>
      </c>
      <c r="F367">
        <v>2093</v>
      </c>
      <c r="G367" t="s">
        <v>1212</v>
      </c>
      <c r="H367" t="s">
        <v>1321</v>
      </c>
      <c r="I367" t="s">
        <v>1336</v>
      </c>
      <c r="K367" t="s">
        <v>1437</v>
      </c>
      <c r="L367">
        <v>3</v>
      </c>
      <c r="M367">
        <v>0</v>
      </c>
      <c r="N367">
        <v>0</v>
      </c>
      <c r="O367" t="s">
        <v>1441</v>
      </c>
      <c r="P367">
        <v>26000</v>
      </c>
      <c r="Q367">
        <v>11372</v>
      </c>
      <c r="R367" t="s">
        <v>1446</v>
      </c>
      <c r="S367" t="s">
        <v>1454</v>
      </c>
      <c r="U367" t="s">
        <v>1478</v>
      </c>
      <c r="V367" t="s">
        <v>1475</v>
      </c>
      <c r="Y367" t="s">
        <v>1502</v>
      </c>
      <c r="AA367" t="s">
        <v>1498</v>
      </c>
      <c r="AC367">
        <v>0</v>
      </c>
      <c r="AD367">
        <v>0</v>
      </c>
      <c r="AF367">
        <v>0</v>
      </c>
      <c r="AG367">
        <v>0</v>
      </c>
      <c r="AH367">
        <v>0</v>
      </c>
      <c r="AI367">
        <v>0</v>
      </c>
    </row>
    <row r="368" spans="1:35">
      <c r="A368" s="1">
        <f>HYPERLINK("https://lsnyc.legalserver.org/matter/dynamic-profile/view/0816541","16-0816541")</f>
        <v>0</v>
      </c>
      <c r="B368" t="s">
        <v>36</v>
      </c>
      <c r="C368" t="s">
        <v>55</v>
      </c>
      <c r="D368" t="s">
        <v>369</v>
      </c>
      <c r="E368" t="s">
        <v>800</v>
      </c>
      <c r="F368">
        <v>2093</v>
      </c>
      <c r="G368" t="s">
        <v>1213</v>
      </c>
      <c r="H368" t="s">
        <v>1315</v>
      </c>
      <c r="I368" t="s">
        <v>1362</v>
      </c>
      <c r="K368" t="s">
        <v>1437</v>
      </c>
      <c r="L368">
        <v>1</v>
      </c>
      <c r="M368">
        <v>2</v>
      </c>
      <c r="N368">
        <v>0</v>
      </c>
      <c r="O368" t="s">
        <v>1441</v>
      </c>
      <c r="P368">
        <v>29400</v>
      </c>
      <c r="Q368">
        <v>11691</v>
      </c>
      <c r="R368" t="s">
        <v>1446</v>
      </c>
      <c r="S368" t="s">
        <v>1453</v>
      </c>
      <c r="U368" t="s">
        <v>1480</v>
      </c>
      <c r="V368" t="s">
        <v>1470</v>
      </c>
      <c r="Y368" t="s">
        <v>1514</v>
      </c>
      <c r="AA368" t="s">
        <v>1498</v>
      </c>
      <c r="AC368">
        <v>0</v>
      </c>
      <c r="AD368">
        <v>0</v>
      </c>
      <c r="AF368">
        <v>0</v>
      </c>
      <c r="AG368">
        <v>0</v>
      </c>
      <c r="AH368">
        <v>0</v>
      </c>
      <c r="AI368">
        <v>0</v>
      </c>
    </row>
    <row r="369" spans="1:35">
      <c r="A369" s="1">
        <f>HYPERLINK("https://lsnyc.legalserver.org/matter/dynamic-profile/view/1833996","17-1833996")</f>
        <v>0</v>
      </c>
      <c r="B369" t="s">
        <v>35</v>
      </c>
      <c r="C369" t="s">
        <v>43</v>
      </c>
      <c r="D369" t="s">
        <v>370</v>
      </c>
      <c r="E369" t="s">
        <v>801</v>
      </c>
      <c r="F369">
        <v>2094</v>
      </c>
      <c r="G369" t="s">
        <v>1214</v>
      </c>
      <c r="H369" t="s">
        <v>1328</v>
      </c>
      <c r="I369" t="s">
        <v>1369</v>
      </c>
      <c r="K369" t="s">
        <v>1437</v>
      </c>
      <c r="L369">
        <v>3</v>
      </c>
      <c r="M369">
        <v>3</v>
      </c>
      <c r="N369">
        <v>0</v>
      </c>
      <c r="O369" t="s">
        <v>1440</v>
      </c>
      <c r="P369">
        <v>130799.94</v>
      </c>
      <c r="Q369">
        <v>10461</v>
      </c>
      <c r="R369" t="s">
        <v>1445</v>
      </c>
      <c r="S369" t="s">
        <v>1454</v>
      </c>
      <c r="U369" t="s">
        <v>1472</v>
      </c>
      <c r="V369" t="s">
        <v>1473</v>
      </c>
      <c r="Y369" t="s">
        <v>1502</v>
      </c>
      <c r="AA369" t="s">
        <v>1510</v>
      </c>
      <c r="AC369">
        <v>0</v>
      </c>
      <c r="AD369">
        <v>0</v>
      </c>
      <c r="AE369">
        <v>33817.46</v>
      </c>
      <c r="AF369">
        <v>0</v>
      </c>
      <c r="AG369">
        <v>0</v>
      </c>
      <c r="AH369">
        <v>0</v>
      </c>
      <c r="AI369">
        <v>0</v>
      </c>
    </row>
    <row r="370" spans="1:35">
      <c r="A370" s="1">
        <f>HYPERLINK("https://lsnyc.legalserver.org/matter/dynamic-profile/view/1837912","17-1837912")</f>
        <v>0</v>
      </c>
      <c r="B370" t="s">
        <v>36</v>
      </c>
      <c r="C370" t="s">
        <v>59</v>
      </c>
      <c r="D370" t="s">
        <v>371</v>
      </c>
      <c r="E370" t="s">
        <v>510</v>
      </c>
      <c r="F370">
        <v>2093</v>
      </c>
      <c r="G370" t="s">
        <v>1215</v>
      </c>
      <c r="H370" t="s">
        <v>1315</v>
      </c>
      <c r="I370" t="s">
        <v>1353</v>
      </c>
      <c r="K370" t="s">
        <v>1437</v>
      </c>
      <c r="L370">
        <v>3</v>
      </c>
      <c r="M370">
        <v>1</v>
      </c>
      <c r="N370">
        <v>0</v>
      </c>
      <c r="O370" t="s">
        <v>1441</v>
      </c>
      <c r="P370">
        <v>30000</v>
      </c>
      <c r="Q370">
        <v>11418</v>
      </c>
      <c r="R370" t="s">
        <v>1446</v>
      </c>
      <c r="S370" t="s">
        <v>1454</v>
      </c>
      <c r="U370" t="s">
        <v>1473</v>
      </c>
      <c r="V370" t="s">
        <v>1472</v>
      </c>
      <c r="W370" t="s">
        <v>1490</v>
      </c>
      <c r="Y370" t="s">
        <v>1500</v>
      </c>
      <c r="AA370" t="s">
        <v>1502</v>
      </c>
      <c r="AC370">
        <v>3803.51</v>
      </c>
      <c r="AD370">
        <v>0</v>
      </c>
      <c r="AF370">
        <v>0</v>
      </c>
      <c r="AG370">
        <v>0</v>
      </c>
      <c r="AH370">
        <v>0</v>
      </c>
      <c r="AI370">
        <v>0</v>
      </c>
    </row>
    <row r="371" spans="1:35">
      <c r="A371" s="1">
        <f>HYPERLINK("https://lsnyc.legalserver.org/matter/dynamic-profile/view/1839777","17-1839777")</f>
        <v>0</v>
      </c>
      <c r="B371" t="s">
        <v>38</v>
      </c>
      <c r="C371" t="s">
        <v>44</v>
      </c>
      <c r="D371" t="s">
        <v>135</v>
      </c>
      <c r="E371" t="s">
        <v>802</v>
      </c>
      <c r="F371">
        <v>2090</v>
      </c>
      <c r="G371" t="s">
        <v>1216</v>
      </c>
      <c r="H371" t="s">
        <v>1318</v>
      </c>
      <c r="I371" t="s">
        <v>1330</v>
      </c>
      <c r="J371" t="s">
        <v>1330</v>
      </c>
      <c r="K371" t="s">
        <v>1437</v>
      </c>
      <c r="L371">
        <v>3</v>
      </c>
      <c r="M371">
        <v>1</v>
      </c>
      <c r="N371">
        <v>0</v>
      </c>
      <c r="P371">
        <v>38264</v>
      </c>
      <c r="Q371">
        <v>10301</v>
      </c>
      <c r="R371" t="s">
        <v>1448</v>
      </c>
      <c r="S371" t="s">
        <v>1454</v>
      </c>
      <c r="T371" t="s">
        <v>1461</v>
      </c>
      <c r="U371" t="s">
        <v>1473</v>
      </c>
      <c r="V371" t="s">
        <v>1472</v>
      </c>
      <c r="W371" t="s">
        <v>1490</v>
      </c>
      <c r="Y371" t="s">
        <v>1499</v>
      </c>
      <c r="AA371" t="s">
        <v>1502</v>
      </c>
      <c r="AC371">
        <v>2015.64</v>
      </c>
      <c r="AD371">
        <v>0</v>
      </c>
      <c r="AF371">
        <v>88834.21000000001</v>
      </c>
      <c r="AG371">
        <v>0</v>
      </c>
      <c r="AH371">
        <v>0</v>
      </c>
      <c r="AI371">
        <v>0</v>
      </c>
    </row>
    <row r="372" spans="1:35">
      <c r="A372" s="1">
        <f>HYPERLINK("https://lsnyc.legalserver.org/matter/dynamic-profile/view/1840834","17-1840834")</f>
        <v>0</v>
      </c>
      <c r="B372" t="s">
        <v>36</v>
      </c>
      <c r="C372" t="s">
        <v>52</v>
      </c>
      <c r="D372" t="s">
        <v>372</v>
      </c>
      <c r="E372" t="s">
        <v>803</v>
      </c>
      <c r="F372">
        <v>2093</v>
      </c>
      <c r="G372" t="s">
        <v>1217</v>
      </c>
      <c r="H372" t="s">
        <v>1315</v>
      </c>
      <c r="I372" t="s">
        <v>1352</v>
      </c>
      <c r="K372" t="s">
        <v>1437</v>
      </c>
      <c r="L372">
        <v>4</v>
      </c>
      <c r="M372">
        <v>0</v>
      </c>
      <c r="N372">
        <v>2</v>
      </c>
      <c r="O372" t="s">
        <v>1440</v>
      </c>
      <c r="P372">
        <v>84620</v>
      </c>
      <c r="Q372">
        <v>11385</v>
      </c>
      <c r="R372" t="s">
        <v>1446</v>
      </c>
      <c r="S372" t="s">
        <v>1454</v>
      </c>
      <c r="U372" t="s">
        <v>1478</v>
      </c>
      <c r="AC372">
        <v>0</v>
      </c>
      <c r="AD372">
        <v>0</v>
      </c>
      <c r="AF372">
        <v>0</v>
      </c>
      <c r="AG372">
        <v>0</v>
      </c>
      <c r="AH372">
        <v>0</v>
      </c>
      <c r="AI372">
        <v>0</v>
      </c>
    </row>
    <row r="373" spans="1:35">
      <c r="A373" s="1">
        <f>HYPERLINK("https://lsnyc.legalserver.org/matter/dynamic-profile/view/1838437","17-1838437")</f>
        <v>0</v>
      </c>
      <c r="B373" t="s">
        <v>38</v>
      </c>
      <c r="C373" t="s">
        <v>53</v>
      </c>
      <c r="D373" t="s">
        <v>373</v>
      </c>
      <c r="E373" t="s">
        <v>804</v>
      </c>
      <c r="F373">
        <v>2090</v>
      </c>
      <c r="G373" t="s">
        <v>1218</v>
      </c>
      <c r="H373" t="s">
        <v>1316</v>
      </c>
      <c r="I373" t="s">
        <v>1369</v>
      </c>
      <c r="K373" t="s">
        <v>1437</v>
      </c>
      <c r="L373">
        <v>2</v>
      </c>
      <c r="M373">
        <v>2</v>
      </c>
      <c r="N373">
        <v>0</v>
      </c>
      <c r="O373" t="s">
        <v>1441</v>
      </c>
      <c r="P373">
        <v>98500</v>
      </c>
      <c r="Q373">
        <v>10304</v>
      </c>
      <c r="R373" t="s">
        <v>1448</v>
      </c>
      <c r="S373" t="s">
        <v>1454</v>
      </c>
      <c r="T373" t="s">
        <v>1459</v>
      </c>
      <c r="U373" t="s">
        <v>1470</v>
      </c>
      <c r="V373" t="s">
        <v>1471</v>
      </c>
      <c r="Y373" t="s">
        <v>1498</v>
      </c>
      <c r="AC373">
        <v>0</v>
      </c>
      <c r="AD373">
        <v>0</v>
      </c>
      <c r="AF373">
        <v>0</v>
      </c>
      <c r="AG373">
        <v>0</v>
      </c>
      <c r="AH373">
        <v>0</v>
      </c>
      <c r="AI373">
        <v>0</v>
      </c>
    </row>
    <row r="374" spans="1:35">
      <c r="A374" s="1">
        <f>HYPERLINK("https://lsnyc.legalserver.org/matter/dynamic-profile/view/1839704","17-1839704")</f>
        <v>0</v>
      </c>
      <c r="B374" t="s">
        <v>38</v>
      </c>
      <c r="C374" t="s">
        <v>45</v>
      </c>
      <c r="D374" t="s">
        <v>170</v>
      </c>
      <c r="E374" t="s">
        <v>805</v>
      </c>
      <c r="F374">
        <v>2090</v>
      </c>
      <c r="G374" t="s">
        <v>1219</v>
      </c>
      <c r="H374" t="s">
        <v>1315</v>
      </c>
      <c r="I374" t="s">
        <v>1348</v>
      </c>
      <c r="K374" t="s">
        <v>1437</v>
      </c>
      <c r="L374">
        <v>2</v>
      </c>
      <c r="M374">
        <v>1</v>
      </c>
      <c r="N374">
        <v>0</v>
      </c>
      <c r="O374" t="s">
        <v>1440</v>
      </c>
      <c r="P374">
        <v>83000</v>
      </c>
      <c r="Q374">
        <v>10302</v>
      </c>
      <c r="R374" t="s">
        <v>1448</v>
      </c>
      <c r="S374" t="s">
        <v>1456</v>
      </c>
      <c r="T374" t="s">
        <v>1460</v>
      </c>
      <c r="U374" t="s">
        <v>1486</v>
      </c>
      <c r="V374" t="s">
        <v>1471</v>
      </c>
      <c r="W374" t="s">
        <v>1494</v>
      </c>
      <c r="Y374" t="s">
        <v>1508</v>
      </c>
      <c r="AA374" t="s">
        <v>1498</v>
      </c>
      <c r="AC374">
        <v>0</v>
      </c>
      <c r="AD374">
        <v>0</v>
      </c>
      <c r="AF374">
        <v>0</v>
      </c>
      <c r="AG374">
        <v>0</v>
      </c>
      <c r="AH374">
        <v>0</v>
      </c>
      <c r="AI374">
        <v>0</v>
      </c>
    </row>
    <row r="375" spans="1:35">
      <c r="A375" s="1">
        <f>HYPERLINK("https://lsnyc.legalserver.org/matter/dynamic-profile/view/1846554","17-1846554")</f>
        <v>0</v>
      </c>
      <c r="B375" t="s">
        <v>35</v>
      </c>
      <c r="C375" t="s">
        <v>39</v>
      </c>
      <c r="D375" t="s">
        <v>374</v>
      </c>
      <c r="E375" t="s">
        <v>806</v>
      </c>
      <c r="F375">
        <v>2094</v>
      </c>
      <c r="G375" t="s">
        <v>1220</v>
      </c>
      <c r="H375" t="s">
        <v>1107</v>
      </c>
      <c r="I375" t="s">
        <v>1329</v>
      </c>
      <c r="K375" t="s">
        <v>1437</v>
      </c>
      <c r="L375">
        <v>3</v>
      </c>
      <c r="M375">
        <v>0</v>
      </c>
      <c r="N375">
        <v>0</v>
      </c>
      <c r="O375" t="s">
        <v>1441</v>
      </c>
      <c r="P375">
        <v>9600</v>
      </c>
      <c r="Q375">
        <v>10453</v>
      </c>
      <c r="R375" t="s">
        <v>1445</v>
      </c>
      <c r="S375" t="s">
        <v>1452</v>
      </c>
      <c r="T375" t="s">
        <v>1456</v>
      </c>
      <c r="U375" t="s">
        <v>1470</v>
      </c>
      <c r="V375" t="s">
        <v>1474</v>
      </c>
      <c r="Y375" t="s">
        <v>1515</v>
      </c>
      <c r="AA375" t="s">
        <v>1525</v>
      </c>
      <c r="AC375">
        <v>0</v>
      </c>
      <c r="AD375">
        <v>0</v>
      </c>
      <c r="AF375">
        <v>0</v>
      </c>
      <c r="AG375">
        <v>0</v>
      </c>
      <c r="AH375">
        <v>0</v>
      </c>
      <c r="AI375">
        <v>0</v>
      </c>
    </row>
    <row r="376" spans="1:35">
      <c r="A376" s="1">
        <f>HYPERLINK("https://lsnyc.legalserver.org/matter/dynamic-profile/view/1848536","17-1848536")</f>
        <v>0</v>
      </c>
      <c r="B376" t="s">
        <v>36</v>
      </c>
      <c r="C376" t="s">
        <v>56</v>
      </c>
      <c r="D376" t="s">
        <v>220</v>
      </c>
      <c r="E376" t="s">
        <v>807</v>
      </c>
      <c r="F376">
        <v>2093</v>
      </c>
      <c r="G376" t="s">
        <v>1221</v>
      </c>
      <c r="H376" t="s">
        <v>1186</v>
      </c>
      <c r="I376" t="s">
        <v>1340</v>
      </c>
      <c r="K376" t="s">
        <v>1437</v>
      </c>
      <c r="L376">
        <v>1</v>
      </c>
      <c r="M376">
        <v>0</v>
      </c>
      <c r="N376">
        <v>1</v>
      </c>
      <c r="O376" t="s">
        <v>1440</v>
      </c>
      <c r="P376">
        <v>14928</v>
      </c>
      <c r="Q376">
        <v>11419</v>
      </c>
      <c r="R376" t="s">
        <v>1446</v>
      </c>
      <c r="S376" t="s">
        <v>1454</v>
      </c>
      <c r="U376" t="s">
        <v>1478</v>
      </c>
      <c r="W376" t="s">
        <v>1492</v>
      </c>
      <c r="Y376" t="s">
        <v>1498</v>
      </c>
      <c r="AC376">
        <v>0</v>
      </c>
      <c r="AD376">
        <v>0</v>
      </c>
      <c r="AF376">
        <v>0</v>
      </c>
      <c r="AG376">
        <v>0</v>
      </c>
      <c r="AH376">
        <v>0</v>
      </c>
      <c r="AI376">
        <v>0</v>
      </c>
    </row>
    <row r="377" spans="1:35">
      <c r="A377" s="1">
        <f>HYPERLINK("https://lsnyc.legalserver.org/matter/dynamic-profile/view/1852180","17-1852180")</f>
        <v>0</v>
      </c>
      <c r="B377" t="s">
        <v>37</v>
      </c>
      <c r="C377" t="s">
        <v>42</v>
      </c>
      <c r="D377" t="s">
        <v>375</v>
      </c>
      <c r="E377" t="s">
        <v>685</v>
      </c>
      <c r="F377">
        <v>2091</v>
      </c>
      <c r="G377" t="s">
        <v>1222</v>
      </c>
      <c r="H377" t="s">
        <v>1187</v>
      </c>
      <c r="I377" t="s">
        <v>1412</v>
      </c>
      <c r="K377" t="s">
        <v>1437</v>
      </c>
      <c r="L377">
        <v>3</v>
      </c>
      <c r="M377">
        <v>0</v>
      </c>
      <c r="N377">
        <v>1</v>
      </c>
      <c r="O377" t="s">
        <v>1441</v>
      </c>
      <c r="P377">
        <v>37872</v>
      </c>
      <c r="Q377">
        <v>11238</v>
      </c>
      <c r="R377" t="s">
        <v>1447</v>
      </c>
      <c r="S377" t="s">
        <v>1464</v>
      </c>
      <c r="T377" t="s">
        <v>1460</v>
      </c>
      <c r="U377" t="s">
        <v>1472</v>
      </c>
      <c r="V377" t="s">
        <v>1474</v>
      </c>
      <c r="Y377" t="s">
        <v>1509</v>
      </c>
      <c r="AA377" t="s">
        <v>1505</v>
      </c>
      <c r="AC377">
        <v>0</v>
      </c>
      <c r="AD377">
        <v>0</v>
      </c>
      <c r="AF377">
        <v>0</v>
      </c>
      <c r="AG377">
        <v>0</v>
      </c>
      <c r="AH377">
        <v>0</v>
      </c>
      <c r="AI377">
        <v>0</v>
      </c>
    </row>
    <row r="378" spans="1:35">
      <c r="A378" s="1">
        <f>HYPERLINK("https://lsnyc.legalserver.org/matter/dynamic-profile/view/1855874","18-1855874")</f>
        <v>0</v>
      </c>
      <c r="B378" t="s">
        <v>38</v>
      </c>
      <c r="C378" t="s">
        <v>53</v>
      </c>
      <c r="D378" t="s">
        <v>376</v>
      </c>
      <c r="E378" t="s">
        <v>808</v>
      </c>
      <c r="F378">
        <v>2090</v>
      </c>
      <c r="G378" t="s">
        <v>1223</v>
      </c>
      <c r="H378" t="s">
        <v>1188</v>
      </c>
      <c r="I378" t="s">
        <v>1418</v>
      </c>
      <c r="K378" t="s">
        <v>1437</v>
      </c>
      <c r="L378">
        <v>1</v>
      </c>
      <c r="M378">
        <v>1</v>
      </c>
      <c r="N378">
        <v>0</v>
      </c>
      <c r="P378">
        <v>23832</v>
      </c>
      <c r="Q378">
        <v>10314</v>
      </c>
      <c r="R378" t="s">
        <v>1448</v>
      </c>
      <c r="S378" t="s">
        <v>1452</v>
      </c>
      <c r="U378" t="s">
        <v>1473</v>
      </c>
      <c r="V378" t="s">
        <v>1474</v>
      </c>
      <c r="W378" t="s">
        <v>1497</v>
      </c>
      <c r="Y378" t="s">
        <v>1498</v>
      </c>
      <c r="AC378">
        <v>0</v>
      </c>
      <c r="AD378">
        <v>0</v>
      </c>
      <c r="AF378">
        <v>0</v>
      </c>
      <c r="AG378">
        <v>0</v>
      </c>
      <c r="AH378">
        <v>0</v>
      </c>
      <c r="AI378">
        <v>0</v>
      </c>
    </row>
    <row r="379" spans="1:35">
      <c r="A379" s="1">
        <f>HYPERLINK("https://lsnyc.legalserver.org/matter/dynamic-profile/view/1856718","18-1856718")</f>
        <v>0</v>
      </c>
      <c r="B379" t="s">
        <v>38</v>
      </c>
      <c r="C379" t="s">
        <v>45</v>
      </c>
      <c r="D379" t="s">
        <v>373</v>
      </c>
      <c r="E379" t="s">
        <v>804</v>
      </c>
      <c r="F379">
        <v>2090</v>
      </c>
      <c r="G379" t="s">
        <v>1223</v>
      </c>
      <c r="H379" t="s">
        <v>1313</v>
      </c>
      <c r="I379" t="s">
        <v>1380</v>
      </c>
      <c r="J379" t="s">
        <v>1380</v>
      </c>
      <c r="K379" t="s">
        <v>1437</v>
      </c>
      <c r="L379">
        <v>2</v>
      </c>
      <c r="M379">
        <v>2</v>
      </c>
      <c r="N379">
        <v>0</v>
      </c>
      <c r="P379">
        <v>98500</v>
      </c>
      <c r="Q379">
        <v>10304</v>
      </c>
      <c r="R379" t="s">
        <v>1448</v>
      </c>
      <c r="S379" t="s">
        <v>1454</v>
      </c>
      <c r="U379" t="s">
        <v>1474</v>
      </c>
      <c r="AC379">
        <v>0</v>
      </c>
      <c r="AD379">
        <v>0</v>
      </c>
      <c r="AF379">
        <v>0</v>
      </c>
      <c r="AG379">
        <v>0</v>
      </c>
      <c r="AH379">
        <v>0</v>
      </c>
      <c r="AI379">
        <v>0</v>
      </c>
    </row>
    <row r="380" spans="1:35">
      <c r="A380" s="1">
        <f>HYPERLINK("https://lsnyc.legalserver.org/matter/dynamic-profile/view/1859296","18-1859296")</f>
        <v>0</v>
      </c>
      <c r="B380" t="s">
        <v>38</v>
      </c>
      <c r="C380" t="s">
        <v>44</v>
      </c>
      <c r="D380" t="s">
        <v>377</v>
      </c>
      <c r="E380" t="s">
        <v>785</v>
      </c>
      <c r="F380">
        <v>2090</v>
      </c>
      <c r="G380" t="s">
        <v>1224</v>
      </c>
      <c r="H380" t="s">
        <v>1313</v>
      </c>
      <c r="I380" t="s">
        <v>1383</v>
      </c>
      <c r="K380" t="s">
        <v>1437</v>
      </c>
      <c r="L380">
        <v>2</v>
      </c>
      <c r="M380">
        <v>0</v>
      </c>
      <c r="N380">
        <v>1</v>
      </c>
      <c r="P380">
        <v>48600</v>
      </c>
      <c r="Q380">
        <v>10314</v>
      </c>
      <c r="R380" t="s">
        <v>1448</v>
      </c>
      <c r="S380" t="s">
        <v>1460</v>
      </c>
      <c r="U380" t="s">
        <v>1472</v>
      </c>
      <c r="V380" t="s">
        <v>1473</v>
      </c>
      <c r="Y380" t="s">
        <v>1502</v>
      </c>
      <c r="AC380">
        <v>0</v>
      </c>
      <c r="AD380">
        <v>0</v>
      </c>
      <c r="AF380">
        <v>0</v>
      </c>
      <c r="AG380">
        <v>0</v>
      </c>
      <c r="AH380">
        <v>0</v>
      </c>
      <c r="AI380">
        <v>0</v>
      </c>
    </row>
    <row r="381" spans="1:35">
      <c r="A381" s="1">
        <f>HYPERLINK("https://lsnyc.legalserver.org/matter/dynamic-profile/view/1862032","18-1862032")</f>
        <v>0</v>
      </c>
      <c r="B381" t="s">
        <v>37</v>
      </c>
      <c r="C381" t="s">
        <v>57</v>
      </c>
      <c r="D381" t="s">
        <v>378</v>
      </c>
      <c r="E381" t="s">
        <v>780</v>
      </c>
      <c r="F381">
        <v>2091</v>
      </c>
      <c r="G381" t="s">
        <v>1095</v>
      </c>
      <c r="H381" t="s">
        <v>1185</v>
      </c>
      <c r="I381" t="s">
        <v>1373</v>
      </c>
      <c r="K381" t="s">
        <v>1437</v>
      </c>
      <c r="L381">
        <v>6</v>
      </c>
      <c r="M381">
        <v>0</v>
      </c>
      <c r="N381">
        <v>1</v>
      </c>
      <c r="O381" t="s">
        <v>1442</v>
      </c>
      <c r="P381">
        <v>167256</v>
      </c>
      <c r="Q381">
        <v>11220</v>
      </c>
      <c r="R381" t="s">
        <v>1447</v>
      </c>
      <c r="S381" t="s">
        <v>1455</v>
      </c>
      <c r="U381" t="s">
        <v>1478</v>
      </c>
      <c r="V381" t="s">
        <v>1470</v>
      </c>
      <c r="Y381" t="s">
        <v>1512</v>
      </c>
      <c r="AA381" t="s">
        <v>1501</v>
      </c>
      <c r="AC381">
        <v>0</v>
      </c>
      <c r="AD381">
        <v>0</v>
      </c>
      <c r="AF381">
        <v>0</v>
      </c>
      <c r="AG381">
        <v>0</v>
      </c>
      <c r="AH381">
        <v>0</v>
      </c>
      <c r="AI381">
        <v>0</v>
      </c>
    </row>
    <row r="382" spans="1:35">
      <c r="A382" s="1">
        <f>HYPERLINK("https://lsnyc.legalserver.org/matter/dynamic-profile/view/1869380","18-1869380")</f>
        <v>0</v>
      </c>
      <c r="B382" t="s">
        <v>37</v>
      </c>
      <c r="C382" t="s">
        <v>54</v>
      </c>
      <c r="D382" t="s">
        <v>284</v>
      </c>
      <c r="E382" t="s">
        <v>809</v>
      </c>
      <c r="F382">
        <v>2091</v>
      </c>
      <c r="G382" t="s">
        <v>1102</v>
      </c>
      <c r="H382" t="s">
        <v>1321</v>
      </c>
      <c r="I382" t="s">
        <v>1344</v>
      </c>
      <c r="K382" t="s">
        <v>1437</v>
      </c>
      <c r="L382">
        <v>4</v>
      </c>
      <c r="M382">
        <v>0</v>
      </c>
      <c r="N382">
        <v>0</v>
      </c>
      <c r="O382" t="s">
        <v>1440</v>
      </c>
      <c r="P382">
        <v>81000</v>
      </c>
      <c r="Q382">
        <v>11212</v>
      </c>
      <c r="R382" t="s">
        <v>1447</v>
      </c>
      <c r="S382" t="s">
        <v>1460</v>
      </c>
      <c r="U382" t="s">
        <v>1472</v>
      </c>
      <c r="V382" t="s">
        <v>1473</v>
      </c>
      <c r="Y382" t="s">
        <v>1502</v>
      </c>
      <c r="AC382">
        <v>0</v>
      </c>
      <c r="AD382">
        <v>0</v>
      </c>
      <c r="AF382">
        <v>0</v>
      </c>
      <c r="AG382">
        <v>0</v>
      </c>
      <c r="AH382">
        <v>0</v>
      </c>
      <c r="AI382">
        <v>0</v>
      </c>
    </row>
    <row r="383" spans="1:35">
      <c r="A383" s="1">
        <f>HYPERLINK("https://lsnyc.legalserver.org/matter/dynamic-profile/view/1871405","18-1871405")</f>
        <v>0</v>
      </c>
      <c r="B383" t="s">
        <v>36</v>
      </c>
      <c r="C383" t="s">
        <v>47</v>
      </c>
      <c r="D383" t="s">
        <v>379</v>
      </c>
      <c r="E383" t="s">
        <v>810</v>
      </c>
      <c r="F383">
        <v>2093</v>
      </c>
      <c r="G383" t="s">
        <v>1104</v>
      </c>
      <c r="H383" t="s">
        <v>1317</v>
      </c>
      <c r="I383" t="s">
        <v>1419</v>
      </c>
      <c r="K383" t="s">
        <v>1437</v>
      </c>
      <c r="L383">
        <v>4</v>
      </c>
      <c r="M383">
        <v>0</v>
      </c>
      <c r="N383">
        <v>2</v>
      </c>
      <c r="O383" t="s">
        <v>1440</v>
      </c>
      <c r="P383">
        <v>61404</v>
      </c>
      <c r="Q383">
        <v>11355</v>
      </c>
      <c r="R383" t="s">
        <v>1446</v>
      </c>
      <c r="S383" t="s">
        <v>1466</v>
      </c>
      <c r="U383" t="s">
        <v>1471</v>
      </c>
      <c r="AC383">
        <v>0</v>
      </c>
      <c r="AD383">
        <v>0</v>
      </c>
      <c r="AF383">
        <v>0</v>
      </c>
      <c r="AG383">
        <v>0</v>
      </c>
      <c r="AH383">
        <v>0</v>
      </c>
      <c r="AI383">
        <v>0</v>
      </c>
    </row>
    <row r="384" spans="1:35">
      <c r="A384" s="1">
        <f>HYPERLINK("https://lsnyc.legalserver.org/matter/dynamic-profile/view/1876318","18-1876318")</f>
        <v>0</v>
      </c>
      <c r="B384" t="s">
        <v>36</v>
      </c>
      <c r="C384" t="s">
        <v>47</v>
      </c>
      <c r="D384" t="s">
        <v>380</v>
      </c>
      <c r="E384" t="s">
        <v>811</v>
      </c>
      <c r="F384">
        <v>2093</v>
      </c>
      <c r="G384" t="s">
        <v>1225</v>
      </c>
      <c r="H384" t="s">
        <v>1317</v>
      </c>
      <c r="I384" t="s">
        <v>1369</v>
      </c>
      <c r="J384" t="s">
        <v>1382</v>
      </c>
      <c r="K384" t="s">
        <v>1437</v>
      </c>
      <c r="L384">
        <v>4</v>
      </c>
      <c r="M384">
        <v>1</v>
      </c>
      <c r="N384">
        <v>2</v>
      </c>
      <c r="O384" t="s">
        <v>1441</v>
      </c>
      <c r="P384">
        <v>40572</v>
      </c>
      <c r="Q384">
        <v>11691</v>
      </c>
      <c r="R384" t="s">
        <v>1446</v>
      </c>
      <c r="S384" t="s">
        <v>1452</v>
      </c>
      <c r="T384" t="s">
        <v>1454</v>
      </c>
      <c r="U384" t="s">
        <v>1470</v>
      </c>
      <c r="AC384">
        <v>0</v>
      </c>
      <c r="AD384">
        <v>0</v>
      </c>
      <c r="AF384">
        <v>0</v>
      </c>
      <c r="AG384">
        <v>0</v>
      </c>
      <c r="AH384">
        <v>0</v>
      </c>
      <c r="AI384">
        <v>0</v>
      </c>
    </row>
    <row r="385" spans="1:35">
      <c r="A385" s="1">
        <f>HYPERLINK("https://lsnyc.legalserver.org/matter/dynamic-profile/view/1876532","18-1876532")</f>
        <v>0</v>
      </c>
      <c r="B385" t="s">
        <v>38</v>
      </c>
      <c r="C385" t="s">
        <v>44</v>
      </c>
      <c r="D385" t="s">
        <v>381</v>
      </c>
      <c r="E385" t="s">
        <v>812</v>
      </c>
      <c r="F385">
        <v>2090</v>
      </c>
      <c r="G385" t="s">
        <v>1226</v>
      </c>
      <c r="H385" t="s">
        <v>1316</v>
      </c>
      <c r="I385" t="s">
        <v>1405</v>
      </c>
      <c r="K385" t="s">
        <v>1437</v>
      </c>
      <c r="L385">
        <v>5</v>
      </c>
      <c r="M385">
        <v>0</v>
      </c>
      <c r="N385">
        <v>0</v>
      </c>
      <c r="O385" t="s">
        <v>1440</v>
      </c>
      <c r="P385">
        <v>71256</v>
      </c>
      <c r="Q385">
        <v>10314</v>
      </c>
      <c r="R385" t="s">
        <v>1448</v>
      </c>
      <c r="S385" t="s">
        <v>1453</v>
      </c>
      <c r="U385" t="s">
        <v>1474</v>
      </c>
      <c r="AC385">
        <v>0</v>
      </c>
      <c r="AD385">
        <v>0</v>
      </c>
      <c r="AF385">
        <v>0</v>
      </c>
      <c r="AG385">
        <v>0</v>
      </c>
      <c r="AH385">
        <v>0</v>
      </c>
      <c r="AI385">
        <v>0</v>
      </c>
    </row>
    <row r="386" spans="1:35">
      <c r="A386" s="1">
        <f>HYPERLINK("https://lsnyc.legalserver.org/matter/dynamic-profile/view/1876770","18-1876770")</f>
        <v>0</v>
      </c>
      <c r="B386" t="s">
        <v>38</v>
      </c>
      <c r="C386" t="s">
        <v>44</v>
      </c>
      <c r="D386" t="s">
        <v>382</v>
      </c>
      <c r="E386" t="s">
        <v>813</v>
      </c>
      <c r="F386">
        <v>2090</v>
      </c>
      <c r="G386" t="s">
        <v>1227</v>
      </c>
      <c r="H386" t="s">
        <v>1188</v>
      </c>
      <c r="I386" t="s">
        <v>1371</v>
      </c>
      <c r="K386" t="s">
        <v>1437</v>
      </c>
      <c r="L386">
        <v>5</v>
      </c>
      <c r="M386">
        <v>0</v>
      </c>
      <c r="N386">
        <v>0</v>
      </c>
      <c r="O386" t="s">
        <v>1440</v>
      </c>
      <c r="P386">
        <v>21600</v>
      </c>
      <c r="Q386">
        <v>10314</v>
      </c>
      <c r="R386" t="s">
        <v>1448</v>
      </c>
      <c r="S386" t="s">
        <v>1458</v>
      </c>
      <c r="T386" t="s">
        <v>1459</v>
      </c>
      <c r="U386" t="s">
        <v>1470</v>
      </c>
      <c r="Y386" t="s">
        <v>1498</v>
      </c>
      <c r="AC386">
        <v>0</v>
      </c>
      <c r="AD386">
        <v>0</v>
      </c>
      <c r="AF386">
        <v>0</v>
      </c>
      <c r="AG386">
        <v>0</v>
      </c>
      <c r="AH386">
        <v>0</v>
      </c>
      <c r="AI386">
        <v>0</v>
      </c>
    </row>
    <row r="387" spans="1:35">
      <c r="A387" s="1">
        <f>HYPERLINK("https://lsnyc.legalserver.org/matter/dynamic-profile/view/1878046","18-1878046")</f>
        <v>0</v>
      </c>
      <c r="B387" t="s">
        <v>35</v>
      </c>
      <c r="C387" t="s">
        <v>61</v>
      </c>
      <c r="D387" t="s">
        <v>336</v>
      </c>
      <c r="E387" t="s">
        <v>814</v>
      </c>
      <c r="F387">
        <v>2094</v>
      </c>
      <c r="G387" t="s">
        <v>1228</v>
      </c>
      <c r="H387" t="s">
        <v>1315</v>
      </c>
      <c r="I387" t="s">
        <v>1338</v>
      </c>
      <c r="K387" t="s">
        <v>1437</v>
      </c>
      <c r="L387">
        <v>3</v>
      </c>
      <c r="M387">
        <v>2</v>
      </c>
      <c r="N387">
        <v>0</v>
      </c>
      <c r="O387" t="s">
        <v>1439</v>
      </c>
      <c r="P387">
        <v>95976</v>
      </c>
      <c r="Q387">
        <v>10473</v>
      </c>
      <c r="R387" t="s">
        <v>1445</v>
      </c>
      <c r="S387" t="s">
        <v>1454</v>
      </c>
      <c r="T387" t="s">
        <v>1458</v>
      </c>
      <c r="U387" t="s">
        <v>1474</v>
      </c>
      <c r="V387" t="s">
        <v>1470</v>
      </c>
      <c r="Y387" t="s">
        <v>1501</v>
      </c>
      <c r="AA387" t="s">
        <v>1498</v>
      </c>
      <c r="AC387">
        <v>0</v>
      </c>
      <c r="AD387">
        <v>0</v>
      </c>
      <c r="AF387">
        <v>0</v>
      </c>
      <c r="AG387">
        <v>0</v>
      </c>
      <c r="AH387">
        <v>0</v>
      </c>
      <c r="AI387">
        <v>0</v>
      </c>
    </row>
    <row r="388" spans="1:35">
      <c r="A388" s="1">
        <f>HYPERLINK("https://lsnyc.legalserver.org/matter/dynamic-profile/view/1878911","18-1878911")</f>
        <v>0</v>
      </c>
      <c r="B388" t="s">
        <v>35</v>
      </c>
      <c r="C388" t="s">
        <v>61</v>
      </c>
      <c r="D388" t="s">
        <v>383</v>
      </c>
      <c r="E388" t="s">
        <v>815</v>
      </c>
      <c r="F388">
        <v>2094</v>
      </c>
      <c r="G388" t="s">
        <v>995</v>
      </c>
      <c r="H388" t="s">
        <v>1318</v>
      </c>
      <c r="I388" t="s">
        <v>1334</v>
      </c>
      <c r="K388" t="s">
        <v>1437</v>
      </c>
      <c r="L388">
        <v>2</v>
      </c>
      <c r="M388">
        <v>0</v>
      </c>
      <c r="N388">
        <v>0</v>
      </c>
      <c r="O388" t="s">
        <v>1442</v>
      </c>
      <c r="P388">
        <v>66720</v>
      </c>
      <c r="Q388">
        <v>10465</v>
      </c>
      <c r="R388" t="s">
        <v>1445</v>
      </c>
      <c r="S388" t="s">
        <v>1463</v>
      </c>
      <c r="U388" t="s">
        <v>1472</v>
      </c>
      <c r="Y388" t="s">
        <v>1502</v>
      </c>
      <c r="AC388">
        <v>0</v>
      </c>
      <c r="AD388">
        <v>0</v>
      </c>
      <c r="AF388">
        <v>0</v>
      </c>
      <c r="AG388">
        <v>0</v>
      </c>
      <c r="AH388">
        <v>0</v>
      </c>
      <c r="AI388">
        <v>0</v>
      </c>
    </row>
    <row r="389" spans="1:35">
      <c r="A389" s="1">
        <f>HYPERLINK("https://lsnyc.legalserver.org/matter/dynamic-profile/view/1881036","18-1881036")</f>
        <v>0</v>
      </c>
      <c r="B389" t="s">
        <v>35</v>
      </c>
      <c r="C389" t="s">
        <v>46</v>
      </c>
      <c r="D389" t="s">
        <v>384</v>
      </c>
      <c r="E389" t="s">
        <v>816</v>
      </c>
      <c r="F389">
        <v>2094</v>
      </c>
      <c r="G389" t="s">
        <v>1229</v>
      </c>
      <c r="H389" t="s">
        <v>1313</v>
      </c>
      <c r="I389" t="s">
        <v>1420</v>
      </c>
      <c r="K389" t="s">
        <v>1437</v>
      </c>
      <c r="L389">
        <v>2</v>
      </c>
      <c r="M389">
        <v>1</v>
      </c>
      <c r="N389">
        <v>0</v>
      </c>
      <c r="O389" t="s">
        <v>1441</v>
      </c>
      <c r="P389">
        <v>54175.98</v>
      </c>
      <c r="Q389">
        <v>10467</v>
      </c>
      <c r="R389" t="s">
        <v>1445</v>
      </c>
      <c r="S389" t="s">
        <v>1454</v>
      </c>
      <c r="T389" t="s">
        <v>1468</v>
      </c>
      <c r="U389" t="s">
        <v>1478</v>
      </c>
      <c r="AC389">
        <v>0</v>
      </c>
      <c r="AD389">
        <v>0</v>
      </c>
      <c r="AF389">
        <v>0</v>
      </c>
      <c r="AG389">
        <v>0</v>
      </c>
      <c r="AH389">
        <v>0</v>
      </c>
      <c r="AI389">
        <v>0</v>
      </c>
    </row>
    <row r="390" spans="1:35">
      <c r="A390" s="1">
        <f>HYPERLINK("https://lsnyc.legalserver.org/matter/dynamic-profile/view/1882126","18-1882126")</f>
        <v>0</v>
      </c>
      <c r="B390" t="s">
        <v>35</v>
      </c>
      <c r="C390" t="s">
        <v>43</v>
      </c>
      <c r="D390" t="s">
        <v>385</v>
      </c>
      <c r="E390" t="s">
        <v>817</v>
      </c>
      <c r="F390">
        <v>2094</v>
      </c>
      <c r="G390" t="s">
        <v>1230</v>
      </c>
      <c r="H390" t="s">
        <v>989</v>
      </c>
      <c r="I390" t="s">
        <v>1369</v>
      </c>
      <c r="K390" t="s">
        <v>1437</v>
      </c>
      <c r="L390">
        <v>3</v>
      </c>
      <c r="M390">
        <v>1</v>
      </c>
      <c r="N390">
        <v>0</v>
      </c>
      <c r="O390" t="s">
        <v>1441</v>
      </c>
      <c r="P390">
        <v>176400</v>
      </c>
      <c r="Q390">
        <v>10472</v>
      </c>
      <c r="R390" t="s">
        <v>1445</v>
      </c>
      <c r="S390" t="s">
        <v>1454</v>
      </c>
      <c r="T390" t="s">
        <v>1452</v>
      </c>
      <c r="U390" t="s">
        <v>1472</v>
      </c>
      <c r="V390" t="s">
        <v>1473</v>
      </c>
      <c r="W390" t="s">
        <v>1490</v>
      </c>
      <c r="Y390" t="s">
        <v>1502</v>
      </c>
      <c r="AA390" t="s">
        <v>1500</v>
      </c>
      <c r="AC390">
        <v>2709.18</v>
      </c>
      <c r="AD390">
        <v>0</v>
      </c>
      <c r="AF390">
        <v>0</v>
      </c>
      <c r="AG390">
        <v>0</v>
      </c>
      <c r="AH390">
        <v>0</v>
      </c>
      <c r="AI390">
        <v>0</v>
      </c>
    </row>
    <row r="391" spans="1:35">
      <c r="A391" s="1">
        <f>HYPERLINK("https://lsnyc.legalserver.org/matter/dynamic-profile/view/1882422","18-1882422")</f>
        <v>0</v>
      </c>
      <c r="B391" t="s">
        <v>36</v>
      </c>
      <c r="C391" t="s">
        <v>47</v>
      </c>
      <c r="D391" t="s">
        <v>140</v>
      </c>
      <c r="E391" t="s">
        <v>818</v>
      </c>
      <c r="F391">
        <v>2093</v>
      </c>
      <c r="G391" t="s">
        <v>1112</v>
      </c>
      <c r="H391" t="s">
        <v>1317</v>
      </c>
      <c r="I391" t="s">
        <v>1398</v>
      </c>
      <c r="K391" t="s">
        <v>1437</v>
      </c>
      <c r="L391">
        <v>1</v>
      </c>
      <c r="M391">
        <v>0</v>
      </c>
      <c r="N391">
        <v>0</v>
      </c>
      <c r="O391" t="s">
        <v>1440</v>
      </c>
      <c r="P391">
        <v>48000</v>
      </c>
      <c r="Q391">
        <v>11373</v>
      </c>
      <c r="R391" t="s">
        <v>1446</v>
      </c>
      <c r="S391" t="s">
        <v>1454</v>
      </c>
      <c r="U391" t="s">
        <v>1471</v>
      </c>
      <c r="AC391">
        <v>0</v>
      </c>
      <c r="AD391">
        <v>0</v>
      </c>
      <c r="AF391">
        <v>0</v>
      </c>
      <c r="AG391">
        <v>0</v>
      </c>
      <c r="AH391">
        <v>0</v>
      </c>
      <c r="AI391">
        <v>0</v>
      </c>
    </row>
    <row r="392" spans="1:35">
      <c r="A392" s="1">
        <f>HYPERLINK("https://lsnyc.legalserver.org/matter/dynamic-profile/view/1883555","18-1883555")</f>
        <v>0</v>
      </c>
      <c r="B392" t="s">
        <v>36</v>
      </c>
      <c r="C392" t="s">
        <v>59</v>
      </c>
      <c r="D392" t="s">
        <v>199</v>
      </c>
      <c r="E392" t="s">
        <v>819</v>
      </c>
      <c r="F392">
        <v>2093</v>
      </c>
      <c r="G392" t="s">
        <v>1114</v>
      </c>
      <c r="H392" t="s">
        <v>1315</v>
      </c>
      <c r="I392" t="s">
        <v>1338</v>
      </c>
      <c r="K392" t="s">
        <v>1437</v>
      </c>
      <c r="L392">
        <v>1</v>
      </c>
      <c r="M392">
        <v>0</v>
      </c>
      <c r="N392">
        <v>1</v>
      </c>
      <c r="O392" t="s">
        <v>1440</v>
      </c>
      <c r="P392">
        <v>9600</v>
      </c>
      <c r="Q392">
        <v>11420</v>
      </c>
      <c r="R392" t="s">
        <v>1446</v>
      </c>
      <c r="S392" t="s">
        <v>1452</v>
      </c>
      <c r="T392" t="s">
        <v>1454</v>
      </c>
      <c r="U392" t="s">
        <v>1472</v>
      </c>
      <c r="V392" t="s">
        <v>1471</v>
      </c>
      <c r="AC392">
        <v>0</v>
      </c>
      <c r="AD392">
        <v>0</v>
      </c>
      <c r="AF392">
        <v>0</v>
      </c>
      <c r="AG392">
        <v>0</v>
      </c>
      <c r="AH392">
        <v>0</v>
      </c>
      <c r="AI392">
        <v>0</v>
      </c>
    </row>
    <row r="393" spans="1:35">
      <c r="A393" s="1">
        <f>HYPERLINK("https://lsnyc.legalserver.org/matter/dynamic-profile/view/1884309","18-1884309")</f>
        <v>0</v>
      </c>
      <c r="B393" t="s">
        <v>36</v>
      </c>
      <c r="C393" t="s">
        <v>55</v>
      </c>
      <c r="D393" t="s">
        <v>386</v>
      </c>
      <c r="E393" t="s">
        <v>820</v>
      </c>
      <c r="F393">
        <v>2093</v>
      </c>
      <c r="G393" t="s">
        <v>974</v>
      </c>
      <c r="H393" t="s">
        <v>1184</v>
      </c>
      <c r="I393" t="s">
        <v>1369</v>
      </c>
      <c r="K393" t="s">
        <v>1437</v>
      </c>
      <c r="L393">
        <v>2</v>
      </c>
      <c r="M393">
        <v>3</v>
      </c>
      <c r="N393">
        <v>0</v>
      </c>
      <c r="O393" t="s">
        <v>1440</v>
      </c>
      <c r="P393">
        <v>14400</v>
      </c>
      <c r="Q393">
        <v>11357</v>
      </c>
      <c r="R393" t="s">
        <v>1446</v>
      </c>
      <c r="S393" t="s">
        <v>1452</v>
      </c>
      <c r="T393" t="s">
        <v>1454</v>
      </c>
      <c r="U393" t="s">
        <v>1472</v>
      </c>
      <c r="V393" t="s">
        <v>1473</v>
      </c>
      <c r="W393" t="s">
        <v>1494</v>
      </c>
      <c r="Y393" t="s">
        <v>1498</v>
      </c>
      <c r="AC393">
        <v>0</v>
      </c>
      <c r="AD393">
        <v>0</v>
      </c>
      <c r="AF393">
        <v>0</v>
      </c>
      <c r="AG393">
        <v>0</v>
      </c>
      <c r="AH393">
        <v>0</v>
      </c>
      <c r="AI393">
        <v>0</v>
      </c>
    </row>
    <row r="394" spans="1:35">
      <c r="A394" s="1">
        <f>HYPERLINK("https://lsnyc.legalserver.org/matter/dynamic-profile/view/1884884","18-1884884")</f>
        <v>0</v>
      </c>
      <c r="B394" t="s">
        <v>36</v>
      </c>
      <c r="C394" t="s">
        <v>55</v>
      </c>
      <c r="D394" t="s">
        <v>145</v>
      </c>
      <c r="E394" t="s">
        <v>554</v>
      </c>
      <c r="F394">
        <v>2093</v>
      </c>
      <c r="G394" t="s">
        <v>1231</v>
      </c>
      <c r="H394" t="s">
        <v>1313</v>
      </c>
      <c r="I394" t="s">
        <v>1373</v>
      </c>
      <c r="K394" t="s">
        <v>1437</v>
      </c>
      <c r="L394">
        <v>1</v>
      </c>
      <c r="M394">
        <v>0</v>
      </c>
      <c r="N394">
        <v>0</v>
      </c>
      <c r="O394" t="s">
        <v>1440</v>
      </c>
      <c r="P394">
        <v>13560</v>
      </c>
      <c r="Q394">
        <v>11434</v>
      </c>
      <c r="R394" t="s">
        <v>1446</v>
      </c>
      <c r="S394" t="s">
        <v>1453</v>
      </c>
      <c r="U394" t="s">
        <v>1473</v>
      </c>
      <c r="V394" t="s">
        <v>1471</v>
      </c>
      <c r="W394" t="s">
        <v>1494</v>
      </c>
      <c r="Y394" t="s">
        <v>1498</v>
      </c>
      <c r="AC394">
        <v>0</v>
      </c>
      <c r="AD394">
        <v>0</v>
      </c>
      <c r="AF394">
        <v>0</v>
      </c>
      <c r="AG394">
        <v>0</v>
      </c>
      <c r="AH394">
        <v>0</v>
      </c>
      <c r="AI394">
        <v>0</v>
      </c>
    </row>
    <row r="395" spans="1:35">
      <c r="A395" s="1">
        <f>HYPERLINK("https://lsnyc.legalserver.org/matter/dynamic-profile/view/1884469","18-1884469")</f>
        <v>0</v>
      </c>
      <c r="B395" t="s">
        <v>37</v>
      </c>
      <c r="C395" t="s">
        <v>54</v>
      </c>
      <c r="D395" t="s">
        <v>387</v>
      </c>
      <c r="E395" t="s">
        <v>821</v>
      </c>
      <c r="F395">
        <v>2091</v>
      </c>
      <c r="G395" t="s">
        <v>1116</v>
      </c>
      <c r="H395" t="s">
        <v>989</v>
      </c>
      <c r="I395" t="s">
        <v>1336</v>
      </c>
      <c r="K395" t="s">
        <v>1437</v>
      </c>
      <c r="L395">
        <v>2</v>
      </c>
      <c r="M395">
        <v>5</v>
      </c>
      <c r="N395">
        <v>0</v>
      </c>
      <c r="O395" t="s">
        <v>1440</v>
      </c>
      <c r="P395">
        <v>75400</v>
      </c>
      <c r="Q395">
        <v>11209</v>
      </c>
      <c r="R395" t="s">
        <v>1447</v>
      </c>
      <c r="S395" t="s">
        <v>1456</v>
      </c>
      <c r="U395" t="s">
        <v>1472</v>
      </c>
      <c r="V395" t="s">
        <v>1473</v>
      </c>
      <c r="W395" t="s">
        <v>1497</v>
      </c>
      <c r="Y395" t="s">
        <v>1502</v>
      </c>
      <c r="AC395">
        <v>0</v>
      </c>
      <c r="AD395">
        <v>0</v>
      </c>
      <c r="AF395">
        <v>0</v>
      </c>
      <c r="AG395">
        <v>0</v>
      </c>
      <c r="AH395">
        <v>0</v>
      </c>
      <c r="AI395">
        <v>0</v>
      </c>
    </row>
    <row r="396" spans="1:35">
      <c r="A396" s="1">
        <f>HYPERLINK("https://lsnyc.legalserver.org/matter/dynamic-profile/view/1885554","18-1885554")</f>
        <v>0</v>
      </c>
      <c r="B396" t="s">
        <v>37</v>
      </c>
      <c r="C396" t="s">
        <v>54</v>
      </c>
      <c r="D396" t="s">
        <v>388</v>
      </c>
      <c r="E396" t="s">
        <v>822</v>
      </c>
      <c r="F396">
        <v>2091</v>
      </c>
      <c r="G396" t="s">
        <v>1232</v>
      </c>
      <c r="H396" t="s">
        <v>1315</v>
      </c>
      <c r="I396" t="s">
        <v>1369</v>
      </c>
      <c r="K396" t="s">
        <v>1437</v>
      </c>
      <c r="L396">
        <v>3</v>
      </c>
      <c r="M396">
        <v>3</v>
      </c>
      <c r="N396">
        <v>0</v>
      </c>
      <c r="O396" t="s">
        <v>1441</v>
      </c>
      <c r="P396">
        <v>125000</v>
      </c>
      <c r="Q396">
        <v>11207</v>
      </c>
      <c r="R396" t="s">
        <v>1447</v>
      </c>
      <c r="S396" t="s">
        <v>1454</v>
      </c>
      <c r="U396" t="s">
        <v>1478</v>
      </c>
      <c r="V396" t="s">
        <v>1471</v>
      </c>
      <c r="AC396">
        <v>0</v>
      </c>
      <c r="AD396">
        <v>0</v>
      </c>
      <c r="AF396">
        <v>0</v>
      </c>
      <c r="AG396">
        <v>0</v>
      </c>
      <c r="AH396">
        <v>0</v>
      </c>
      <c r="AI396">
        <v>0</v>
      </c>
    </row>
    <row r="397" spans="1:35">
      <c r="A397" s="1">
        <f>HYPERLINK("https://lsnyc.legalserver.org/matter/dynamic-profile/view/1885847","18-1885847")</f>
        <v>0</v>
      </c>
      <c r="B397" t="s">
        <v>37</v>
      </c>
      <c r="C397" t="s">
        <v>54</v>
      </c>
      <c r="D397" t="s">
        <v>389</v>
      </c>
      <c r="E397" t="s">
        <v>823</v>
      </c>
      <c r="F397">
        <v>2091</v>
      </c>
      <c r="G397" t="s">
        <v>1233</v>
      </c>
      <c r="H397" t="s">
        <v>1313</v>
      </c>
      <c r="I397" t="s">
        <v>1368</v>
      </c>
      <c r="K397" t="s">
        <v>1437</v>
      </c>
      <c r="L397">
        <v>4</v>
      </c>
      <c r="M397">
        <v>1</v>
      </c>
      <c r="N397">
        <v>0</v>
      </c>
      <c r="O397" t="s">
        <v>1441</v>
      </c>
      <c r="P397">
        <v>0</v>
      </c>
      <c r="Q397">
        <v>11221</v>
      </c>
      <c r="R397" t="s">
        <v>1447</v>
      </c>
      <c r="S397" t="s">
        <v>1468</v>
      </c>
      <c r="U397" t="s">
        <v>1475</v>
      </c>
      <c r="AC397">
        <v>0</v>
      </c>
      <c r="AD397">
        <v>0</v>
      </c>
      <c r="AF397">
        <v>0</v>
      </c>
      <c r="AG397">
        <v>0</v>
      </c>
      <c r="AH397">
        <v>0</v>
      </c>
      <c r="AI397">
        <v>0</v>
      </c>
    </row>
    <row r="398" spans="1:35">
      <c r="A398" s="1">
        <f>HYPERLINK("https://lsnyc.legalserver.org/matter/dynamic-profile/view/1886196","18-1886196")</f>
        <v>0</v>
      </c>
      <c r="B398" t="s">
        <v>35</v>
      </c>
      <c r="C398" t="s">
        <v>46</v>
      </c>
      <c r="D398" t="s">
        <v>390</v>
      </c>
      <c r="E398" t="s">
        <v>675</v>
      </c>
      <c r="F398">
        <v>2094</v>
      </c>
      <c r="G398" t="s">
        <v>1234</v>
      </c>
      <c r="H398" t="s">
        <v>1313</v>
      </c>
      <c r="I398" t="s">
        <v>1349</v>
      </c>
      <c r="K398" t="s">
        <v>1437</v>
      </c>
      <c r="L398">
        <v>2</v>
      </c>
      <c r="M398">
        <v>0</v>
      </c>
      <c r="N398">
        <v>2</v>
      </c>
      <c r="O398" t="s">
        <v>1440</v>
      </c>
      <c r="P398">
        <v>79440</v>
      </c>
      <c r="Q398">
        <v>10469</v>
      </c>
      <c r="R398" t="s">
        <v>1445</v>
      </c>
      <c r="S398" t="s">
        <v>1453</v>
      </c>
      <c r="U398" t="s">
        <v>1475</v>
      </c>
      <c r="AC398">
        <v>0</v>
      </c>
      <c r="AD398">
        <v>0</v>
      </c>
      <c r="AF398">
        <v>0</v>
      </c>
      <c r="AG398">
        <v>0</v>
      </c>
      <c r="AH398">
        <v>0</v>
      </c>
      <c r="AI398">
        <v>0</v>
      </c>
    </row>
    <row r="399" spans="1:35">
      <c r="A399" s="1">
        <f>HYPERLINK("https://lsnyc.legalserver.org/matter/dynamic-profile/view/1886743","18-1886743")</f>
        <v>0</v>
      </c>
      <c r="B399" t="s">
        <v>36</v>
      </c>
      <c r="C399" t="s">
        <v>52</v>
      </c>
      <c r="D399" t="s">
        <v>125</v>
      </c>
      <c r="E399" t="s">
        <v>824</v>
      </c>
      <c r="F399">
        <v>2093</v>
      </c>
      <c r="G399" t="s">
        <v>1119</v>
      </c>
      <c r="H399" t="s">
        <v>1313</v>
      </c>
      <c r="I399" t="s">
        <v>1347</v>
      </c>
      <c r="K399" t="s">
        <v>1437</v>
      </c>
      <c r="L399">
        <v>3</v>
      </c>
      <c r="M399">
        <v>1</v>
      </c>
      <c r="N399">
        <v>1</v>
      </c>
      <c r="O399" t="s">
        <v>1441</v>
      </c>
      <c r="P399">
        <v>78000</v>
      </c>
      <c r="Q399">
        <v>11435</v>
      </c>
      <c r="R399" t="s">
        <v>1446</v>
      </c>
      <c r="S399" t="s">
        <v>1459</v>
      </c>
      <c r="U399" t="s">
        <v>1478</v>
      </c>
      <c r="AC399">
        <v>0</v>
      </c>
      <c r="AD399">
        <v>0</v>
      </c>
      <c r="AF399">
        <v>0</v>
      </c>
      <c r="AG399">
        <v>0</v>
      </c>
      <c r="AH399">
        <v>0</v>
      </c>
      <c r="AI399">
        <v>0</v>
      </c>
    </row>
    <row r="400" spans="1:35">
      <c r="A400" s="1">
        <f>HYPERLINK("https://lsnyc.legalserver.org/matter/dynamic-profile/view/1886897","19-1886897")</f>
        <v>0</v>
      </c>
      <c r="B400" t="s">
        <v>35</v>
      </c>
      <c r="C400" t="s">
        <v>46</v>
      </c>
      <c r="D400" t="s">
        <v>391</v>
      </c>
      <c r="E400" t="s">
        <v>825</v>
      </c>
      <c r="F400">
        <v>2094</v>
      </c>
      <c r="G400" t="s">
        <v>1235</v>
      </c>
      <c r="H400" t="s">
        <v>1186</v>
      </c>
      <c r="I400" t="s">
        <v>1338</v>
      </c>
      <c r="K400" t="s">
        <v>1437</v>
      </c>
      <c r="L400">
        <v>4</v>
      </c>
      <c r="M400">
        <v>0</v>
      </c>
      <c r="N400">
        <v>0</v>
      </c>
      <c r="O400" t="s">
        <v>1441</v>
      </c>
      <c r="P400">
        <v>86400</v>
      </c>
      <c r="Q400">
        <v>10453</v>
      </c>
      <c r="R400" t="s">
        <v>1445</v>
      </c>
      <c r="S400" t="s">
        <v>1454</v>
      </c>
      <c r="T400" t="s">
        <v>1453</v>
      </c>
      <c r="U400" t="s">
        <v>1472</v>
      </c>
      <c r="Y400" t="s">
        <v>1502</v>
      </c>
      <c r="AC400">
        <v>0</v>
      </c>
      <c r="AD400">
        <v>0</v>
      </c>
      <c r="AF400">
        <v>0</v>
      </c>
      <c r="AG400">
        <v>0</v>
      </c>
      <c r="AH400">
        <v>0</v>
      </c>
      <c r="AI400">
        <v>0</v>
      </c>
    </row>
    <row r="401" spans="1:35">
      <c r="A401" s="1">
        <f>HYPERLINK("https://lsnyc.legalserver.org/matter/dynamic-profile/view/1888306","19-1888306")</f>
        <v>0</v>
      </c>
      <c r="B401" t="s">
        <v>35</v>
      </c>
      <c r="C401" t="s">
        <v>41</v>
      </c>
      <c r="D401" t="s">
        <v>392</v>
      </c>
      <c r="E401" t="s">
        <v>826</v>
      </c>
      <c r="F401">
        <v>2094</v>
      </c>
      <c r="G401" t="s">
        <v>1122</v>
      </c>
      <c r="H401" t="s">
        <v>1328</v>
      </c>
      <c r="I401" t="s">
        <v>1350</v>
      </c>
      <c r="K401" t="s">
        <v>1437</v>
      </c>
      <c r="L401">
        <v>2</v>
      </c>
      <c r="M401">
        <v>2</v>
      </c>
      <c r="N401">
        <v>0</v>
      </c>
      <c r="O401" t="s">
        <v>1440</v>
      </c>
      <c r="P401">
        <v>85046</v>
      </c>
      <c r="Q401">
        <v>10465</v>
      </c>
      <c r="R401" t="s">
        <v>1445</v>
      </c>
      <c r="S401" t="s">
        <v>1456</v>
      </c>
      <c r="U401" t="s">
        <v>1477</v>
      </c>
      <c r="V401" t="s">
        <v>1470</v>
      </c>
      <c r="Y401" t="s">
        <v>1501</v>
      </c>
      <c r="AC401">
        <v>0</v>
      </c>
      <c r="AD401">
        <v>0</v>
      </c>
      <c r="AF401">
        <v>0</v>
      </c>
      <c r="AG401">
        <v>0</v>
      </c>
      <c r="AH401">
        <v>0</v>
      </c>
      <c r="AI401">
        <v>0</v>
      </c>
    </row>
    <row r="402" spans="1:35">
      <c r="A402" s="1">
        <f>HYPERLINK("https://lsnyc.legalserver.org/matter/dynamic-profile/view/1888853","19-1888853")</f>
        <v>0</v>
      </c>
      <c r="B402" t="s">
        <v>35</v>
      </c>
      <c r="C402" t="s">
        <v>43</v>
      </c>
      <c r="D402" t="s">
        <v>358</v>
      </c>
      <c r="E402" t="s">
        <v>827</v>
      </c>
      <c r="F402">
        <v>2094</v>
      </c>
      <c r="G402" t="s">
        <v>1124</v>
      </c>
      <c r="H402" t="s">
        <v>1321</v>
      </c>
      <c r="I402" t="s">
        <v>1363</v>
      </c>
      <c r="K402" t="s">
        <v>1437</v>
      </c>
      <c r="L402">
        <v>2</v>
      </c>
      <c r="M402">
        <v>0</v>
      </c>
      <c r="N402">
        <v>0</v>
      </c>
      <c r="O402" t="s">
        <v>1441</v>
      </c>
      <c r="P402">
        <v>81000</v>
      </c>
      <c r="Q402">
        <v>10462</v>
      </c>
      <c r="R402" t="s">
        <v>1445</v>
      </c>
      <c r="S402" t="s">
        <v>1457</v>
      </c>
      <c r="U402" t="s">
        <v>1472</v>
      </c>
      <c r="Y402" t="s">
        <v>1502</v>
      </c>
      <c r="AC402">
        <v>0</v>
      </c>
      <c r="AD402">
        <v>0</v>
      </c>
      <c r="AF402">
        <v>0</v>
      </c>
      <c r="AG402">
        <v>0</v>
      </c>
      <c r="AH402">
        <v>0</v>
      </c>
      <c r="AI402">
        <v>0</v>
      </c>
    </row>
    <row r="403" spans="1:35">
      <c r="A403" s="1">
        <f>HYPERLINK("https://lsnyc.legalserver.org/matter/dynamic-profile/view/1889013","19-1889013")</f>
        <v>0</v>
      </c>
      <c r="B403" t="s">
        <v>36</v>
      </c>
      <c r="C403" t="s">
        <v>52</v>
      </c>
      <c r="D403" t="s">
        <v>393</v>
      </c>
      <c r="E403" t="s">
        <v>828</v>
      </c>
      <c r="F403">
        <v>2093</v>
      </c>
      <c r="G403" t="s">
        <v>1236</v>
      </c>
      <c r="H403" t="s">
        <v>1316</v>
      </c>
      <c r="I403" t="s">
        <v>1362</v>
      </c>
      <c r="J403" t="s">
        <v>1432</v>
      </c>
      <c r="K403" t="s">
        <v>1437</v>
      </c>
      <c r="L403">
        <v>4</v>
      </c>
      <c r="M403">
        <v>0</v>
      </c>
      <c r="N403">
        <v>0</v>
      </c>
      <c r="O403" t="s">
        <v>1440</v>
      </c>
      <c r="P403">
        <v>76000</v>
      </c>
      <c r="Q403">
        <v>11426</v>
      </c>
      <c r="R403" t="s">
        <v>1446</v>
      </c>
      <c r="S403" t="s">
        <v>1460</v>
      </c>
      <c r="U403" t="s">
        <v>1475</v>
      </c>
      <c r="Y403" t="s">
        <v>1498</v>
      </c>
      <c r="AC403">
        <v>0</v>
      </c>
      <c r="AD403">
        <v>0</v>
      </c>
      <c r="AF403">
        <v>0</v>
      </c>
      <c r="AG403">
        <v>0</v>
      </c>
      <c r="AH403">
        <v>0</v>
      </c>
      <c r="AI403">
        <v>0</v>
      </c>
    </row>
    <row r="404" spans="1:35">
      <c r="A404" s="1">
        <f>HYPERLINK("https://lsnyc.legalserver.org/matter/dynamic-profile/view/1889533","19-1889533")</f>
        <v>0</v>
      </c>
      <c r="B404" t="s">
        <v>35</v>
      </c>
      <c r="C404" t="s">
        <v>61</v>
      </c>
      <c r="D404" t="s">
        <v>394</v>
      </c>
      <c r="E404" t="s">
        <v>829</v>
      </c>
      <c r="F404">
        <v>2094</v>
      </c>
      <c r="G404" t="s">
        <v>1033</v>
      </c>
      <c r="H404" t="s">
        <v>1318</v>
      </c>
      <c r="I404" t="s">
        <v>1336</v>
      </c>
      <c r="K404" t="s">
        <v>1437</v>
      </c>
      <c r="L404">
        <v>3</v>
      </c>
      <c r="M404">
        <v>1</v>
      </c>
      <c r="N404">
        <v>0</v>
      </c>
      <c r="O404" t="s">
        <v>1442</v>
      </c>
      <c r="P404">
        <v>131980</v>
      </c>
      <c r="Q404">
        <v>10472</v>
      </c>
      <c r="R404" t="s">
        <v>1445</v>
      </c>
      <c r="S404" t="s">
        <v>1454</v>
      </c>
      <c r="U404" t="s">
        <v>1472</v>
      </c>
      <c r="V404" t="s">
        <v>1473</v>
      </c>
      <c r="Y404" t="s">
        <v>1502</v>
      </c>
      <c r="AA404" t="s">
        <v>1498</v>
      </c>
      <c r="AC404">
        <v>0</v>
      </c>
      <c r="AD404">
        <v>0</v>
      </c>
      <c r="AF404">
        <v>0</v>
      </c>
      <c r="AG404">
        <v>0</v>
      </c>
      <c r="AH404">
        <v>0</v>
      </c>
      <c r="AI404">
        <v>0</v>
      </c>
    </row>
    <row r="405" spans="1:35">
      <c r="A405" s="1">
        <f>HYPERLINK("https://lsnyc.legalserver.org/matter/dynamic-profile/view/1889744","19-1889744")</f>
        <v>0</v>
      </c>
      <c r="B405" t="s">
        <v>38</v>
      </c>
      <c r="C405" t="s">
        <v>48</v>
      </c>
      <c r="D405" t="s">
        <v>392</v>
      </c>
      <c r="E405" t="s">
        <v>830</v>
      </c>
      <c r="F405">
        <v>2090</v>
      </c>
      <c r="G405" t="s">
        <v>1237</v>
      </c>
      <c r="H405" t="s">
        <v>1187</v>
      </c>
      <c r="I405" t="s">
        <v>1338</v>
      </c>
      <c r="K405" t="s">
        <v>1437</v>
      </c>
      <c r="L405">
        <v>5</v>
      </c>
      <c r="M405">
        <v>0</v>
      </c>
      <c r="N405">
        <v>0</v>
      </c>
      <c r="P405">
        <v>68400</v>
      </c>
      <c r="Q405">
        <v>10312</v>
      </c>
      <c r="R405" t="s">
        <v>1448</v>
      </c>
      <c r="S405" t="s">
        <v>1454</v>
      </c>
      <c r="U405" t="s">
        <v>1473</v>
      </c>
      <c r="V405" t="s">
        <v>1471</v>
      </c>
      <c r="Y405" t="s">
        <v>1498</v>
      </c>
      <c r="AC405">
        <v>0</v>
      </c>
      <c r="AD405">
        <v>0</v>
      </c>
      <c r="AF405">
        <v>0</v>
      </c>
      <c r="AG405">
        <v>0</v>
      </c>
      <c r="AH405">
        <v>0</v>
      </c>
      <c r="AI405">
        <v>0</v>
      </c>
    </row>
    <row r="406" spans="1:35">
      <c r="A406" s="1">
        <f>HYPERLINK("https://lsnyc.legalserver.org/matter/dynamic-profile/view/1890303","19-1890303")</f>
        <v>0</v>
      </c>
      <c r="B406" t="s">
        <v>35</v>
      </c>
      <c r="C406" t="s">
        <v>46</v>
      </c>
      <c r="D406" t="s">
        <v>395</v>
      </c>
      <c r="E406" t="s">
        <v>831</v>
      </c>
      <c r="F406">
        <v>2094</v>
      </c>
      <c r="G406" t="s">
        <v>1128</v>
      </c>
      <c r="H406" t="s">
        <v>989</v>
      </c>
      <c r="I406" t="s">
        <v>1344</v>
      </c>
      <c r="K406" t="s">
        <v>1437</v>
      </c>
      <c r="L406">
        <v>3</v>
      </c>
      <c r="M406">
        <v>0</v>
      </c>
      <c r="N406">
        <v>1</v>
      </c>
      <c r="O406" t="s">
        <v>1444</v>
      </c>
      <c r="P406">
        <v>50316</v>
      </c>
      <c r="Q406">
        <v>10472</v>
      </c>
      <c r="R406" t="s">
        <v>1445</v>
      </c>
      <c r="S406" t="s">
        <v>1463</v>
      </c>
      <c r="U406" t="s">
        <v>1472</v>
      </c>
      <c r="AC406">
        <v>0</v>
      </c>
      <c r="AD406">
        <v>0</v>
      </c>
      <c r="AF406">
        <v>0</v>
      </c>
      <c r="AG406">
        <v>0</v>
      </c>
      <c r="AH406">
        <v>0</v>
      </c>
      <c r="AI406">
        <v>0</v>
      </c>
    </row>
    <row r="407" spans="1:35">
      <c r="A407" s="1">
        <f>HYPERLINK("https://lsnyc.legalserver.org/matter/dynamic-profile/view/1890549","19-1890549")</f>
        <v>0</v>
      </c>
      <c r="B407" t="s">
        <v>37</v>
      </c>
      <c r="C407" t="s">
        <v>50</v>
      </c>
      <c r="D407" t="s">
        <v>396</v>
      </c>
      <c r="E407" t="s">
        <v>832</v>
      </c>
      <c r="F407">
        <v>2091</v>
      </c>
      <c r="G407" t="s">
        <v>1130</v>
      </c>
      <c r="H407" t="s">
        <v>1313</v>
      </c>
      <c r="I407" t="s">
        <v>1409</v>
      </c>
      <c r="K407" t="s">
        <v>1437</v>
      </c>
      <c r="L407">
        <v>1</v>
      </c>
      <c r="M407">
        <v>0</v>
      </c>
      <c r="N407">
        <v>1</v>
      </c>
      <c r="O407" t="s">
        <v>1441</v>
      </c>
      <c r="P407">
        <v>21408</v>
      </c>
      <c r="Q407">
        <v>11208</v>
      </c>
      <c r="R407" t="s">
        <v>1447</v>
      </c>
      <c r="S407" t="s">
        <v>1464</v>
      </c>
      <c r="T407" t="s">
        <v>1456</v>
      </c>
      <c r="U407" t="s">
        <v>1474</v>
      </c>
      <c r="V407" t="s">
        <v>1470</v>
      </c>
      <c r="Y407" t="s">
        <v>1498</v>
      </c>
      <c r="AC407">
        <v>0</v>
      </c>
      <c r="AD407">
        <v>0</v>
      </c>
      <c r="AF407">
        <v>0</v>
      </c>
      <c r="AG407">
        <v>0</v>
      </c>
      <c r="AH407">
        <v>0</v>
      </c>
      <c r="AI407">
        <v>0</v>
      </c>
    </row>
    <row r="408" spans="1:35">
      <c r="A408" s="1">
        <f>HYPERLINK("https://lsnyc.legalserver.org/matter/dynamic-profile/view/1890889","19-1890889")</f>
        <v>0</v>
      </c>
      <c r="B408" t="s">
        <v>35</v>
      </c>
      <c r="C408" t="s">
        <v>46</v>
      </c>
      <c r="D408" t="s">
        <v>397</v>
      </c>
      <c r="E408" t="s">
        <v>833</v>
      </c>
      <c r="F408">
        <v>2094</v>
      </c>
      <c r="G408" t="s">
        <v>1131</v>
      </c>
      <c r="H408" t="s">
        <v>1186</v>
      </c>
      <c r="I408" t="s">
        <v>1330</v>
      </c>
      <c r="J408" t="s">
        <v>1365</v>
      </c>
      <c r="K408" t="s">
        <v>1437</v>
      </c>
      <c r="L408">
        <v>3</v>
      </c>
      <c r="M408">
        <v>1</v>
      </c>
      <c r="N408">
        <v>0</v>
      </c>
      <c r="O408" t="s">
        <v>1440</v>
      </c>
      <c r="P408">
        <v>70704</v>
      </c>
      <c r="Q408">
        <v>10465</v>
      </c>
      <c r="R408" t="s">
        <v>1445</v>
      </c>
      <c r="S408" t="s">
        <v>1452</v>
      </c>
      <c r="T408" t="s">
        <v>1454</v>
      </c>
      <c r="U408" t="s">
        <v>1470</v>
      </c>
      <c r="V408" t="s">
        <v>1471</v>
      </c>
      <c r="W408" t="s">
        <v>1491</v>
      </c>
      <c r="Y408" t="s">
        <v>1498</v>
      </c>
      <c r="AC408">
        <v>2575</v>
      </c>
      <c r="AD408">
        <v>0</v>
      </c>
      <c r="AF408">
        <v>0</v>
      </c>
      <c r="AG408">
        <v>0</v>
      </c>
      <c r="AH408">
        <v>0</v>
      </c>
      <c r="AI408">
        <v>0</v>
      </c>
    </row>
    <row r="409" spans="1:35">
      <c r="A409" s="1">
        <f>HYPERLINK("https://lsnyc.legalserver.org/matter/dynamic-profile/view/1891525","19-1891525")</f>
        <v>0</v>
      </c>
      <c r="B409" t="s">
        <v>35</v>
      </c>
      <c r="C409" t="s">
        <v>46</v>
      </c>
      <c r="D409" t="s">
        <v>398</v>
      </c>
      <c r="E409" t="s">
        <v>830</v>
      </c>
      <c r="F409">
        <v>2094</v>
      </c>
      <c r="G409" t="s">
        <v>1238</v>
      </c>
      <c r="H409" t="s">
        <v>1321</v>
      </c>
      <c r="I409" t="s">
        <v>1348</v>
      </c>
      <c r="K409" t="s">
        <v>1437</v>
      </c>
      <c r="L409">
        <v>4</v>
      </c>
      <c r="M409">
        <v>1</v>
      </c>
      <c r="N409">
        <v>0</v>
      </c>
      <c r="O409" t="s">
        <v>1439</v>
      </c>
      <c r="P409">
        <v>78720</v>
      </c>
      <c r="Q409">
        <v>10456</v>
      </c>
      <c r="R409" t="s">
        <v>1445</v>
      </c>
      <c r="S409" t="s">
        <v>1456</v>
      </c>
      <c r="U409" t="s">
        <v>1472</v>
      </c>
      <c r="V409" t="s">
        <v>1473</v>
      </c>
      <c r="W409" t="s">
        <v>1491</v>
      </c>
      <c r="Y409" t="s">
        <v>1502</v>
      </c>
      <c r="AC409">
        <v>1625</v>
      </c>
      <c r="AD409">
        <v>0</v>
      </c>
      <c r="AF409">
        <v>0</v>
      </c>
      <c r="AG409">
        <v>0</v>
      </c>
      <c r="AH409">
        <v>0</v>
      </c>
      <c r="AI409">
        <v>0</v>
      </c>
    </row>
    <row r="410" spans="1:35">
      <c r="A410" s="1">
        <f>HYPERLINK("https://lsnyc.legalserver.org/matter/dynamic-profile/view/1891667","19-1891667")</f>
        <v>0</v>
      </c>
      <c r="B410" t="s">
        <v>35</v>
      </c>
      <c r="C410" t="s">
        <v>43</v>
      </c>
      <c r="D410" t="s">
        <v>379</v>
      </c>
      <c r="E410" t="s">
        <v>834</v>
      </c>
      <c r="F410">
        <v>2094</v>
      </c>
      <c r="G410" t="s">
        <v>1239</v>
      </c>
      <c r="H410" t="s">
        <v>989</v>
      </c>
      <c r="I410" t="s">
        <v>1390</v>
      </c>
      <c r="K410" t="s">
        <v>1437</v>
      </c>
      <c r="L410">
        <v>2</v>
      </c>
      <c r="M410">
        <v>1</v>
      </c>
      <c r="N410">
        <v>0</v>
      </c>
      <c r="O410" t="s">
        <v>1440</v>
      </c>
      <c r="P410">
        <v>82332.38</v>
      </c>
      <c r="Q410">
        <v>10463</v>
      </c>
      <c r="R410" t="s">
        <v>1445</v>
      </c>
      <c r="S410" t="s">
        <v>1456</v>
      </c>
      <c r="U410" t="s">
        <v>1472</v>
      </c>
      <c r="Y410" t="s">
        <v>1502</v>
      </c>
      <c r="AC410">
        <v>0</v>
      </c>
      <c r="AD410">
        <v>0</v>
      </c>
      <c r="AF410">
        <v>0</v>
      </c>
      <c r="AG410">
        <v>0</v>
      </c>
      <c r="AH410">
        <v>0</v>
      </c>
      <c r="AI410">
        <v>0</v>
      </c>
    </row>
    <row r="411" spans="1:35">
      <c r="A411" s="1">
        <f>HYPERLINK("https://lsnyc.legalserver.org/matter/dynamic-profile/view/1892206","19-1892206")</f>
        <v>0</v>
      </c>
      <c r="B411" t="s">
        <v>35</v>
      </c>
      <c r="C411" t="s">
        <v>61</v>
      </c>
      <c r="D411" t="s">
        <v>224</v>
      </c>
      <c r="E411" t="s">
        <v>835</v>
      </c>
      <c r="F411">
        <v>2094</v>
      </c>
      <c r="G411" t="s">
        <v>1010</v>
      </c>
      <c r="H411" t="s">
        <v>1318</v>
      </c>
      <c r="J411" t="s">
        <v>1369</v>
      </c>
      <c r="K411" t="s">
        <v>1437</v>
      </c>
      <c r="L411">
        <v>4</v>
      </c>
      <c r="M411">
        <v>0</v>
      </c>
      <c r="N411">
        <v>0</v>
      </c>
      <c r="O411" t="s">
        <v>1441</v>
      </c>
      <c r="P411">
        <v>0</v>
      </c>
      <c r="Q411">
        <v>10455</v>
      </c>
      <c r="R411" t="s">
        <v>1445</v>
      </c>
      <c r="S411" t="s">
        <v>1453</v>
      </c>
      <c r="U411" t="s">
        <v>1472</v>
      </c>
      <c r="V411" t="s">
        <v>1473</v>
      </c>
      <c r="Y411" t="s">
        <v>1509</v>
      </c>
      <c r="AA411" t="s">
        <v>1506</v>
      </c>
      <c r="AC411">
        <v>0</v>
      </c>
      <c r="AD411">
        <v>0</v>
      </c>
      <c r="AF411">
        <v>0</v>
      </c>
      <c r="AG411">
        <v>0</v>
      </c>
      <c r="AH411">
        <v>0</v>
      </c>
      <c r="AI411">
        <v>0</v>
      </c>
    </row>
    <row r="412" spans="1:35">
      <c r="A412" s="1">
        <f>HYPERLINK("https://lsnyc.legalserver.org/matter/dynamic-profile/view/1891247","19-1891247")</f>
        <v>0</v>
      </c>
      <c r="B412" t="s">
        <v>38</v>
      </c>
      <c r="C412" t="s">
        <v>45</v>
      </c>
      <c r="D412" t="s">
        <v>399</v>
      </c>
      <c r="E412" t="s">
        <v>573</v>
      </c>
      <c r="F412">
        <v>2090</v>
      </c>
      <c r="G412" t="s">
        <v>1240</v>
      </c>
      <c r="H412" t="s">
        <v>1313</v>
      </c>
      <c r="I412" t="s">
        <v>1330</v>
      </c>
      <c r="K412" t="s">
        <v>1437</v>
      </c>
      <c r="L412">
        <v>2</v>
      </c>
      <c r="M412">
        <v>2</v>
      </c>
      <c r="N412">
        <v>0</v>
      </c>
      <c r="P412">
        <v>50000</v>
      </c>
      <c r="Q412">
        <v>10303</v>
      </c>
      <c r="R412" t="s">
        <v>1448</v>
      </c>
      <c r="S412" t="s">
        <v>1463</v>
      </c>
      <c r="T412" t="s">
        <v>1456</v>
      </c>
      <c r="U412" t="s">
        <v>1470</v>
      </c>
      <c r="Y412" t="s">
        <v>1498</v>
      </c>
      <c r="AC412">
        <v>0</v>
      </c>
      <c r="AD412">
        <v>0</v>
      </c>
      <c r="AF412">
        <v>0</v>
      </c>
      <c r="AG412">
        <v>0</v>
      </c>
      <c r="AH412">
        <v>0</v>
      </c>
      <c r="AI412">
        <v>0</v>
      </c>
    </row>
    <row r="413" spans="1:35">
      <c r="A413" s="1">
        <f>HYPERLINK("https://lsnyc.legalserver.org/matter/dynamic-profile/view/1892668","19-1892668")</f>
        <v>0</v>
      </c>
      <c r="B413" t="s">
        <v>37</v>
      </c>
      <c r="C413" t="s">
        <v>58</v>
      </c>
      <c r="D413" t="s">
        <v>400</v>
      </c>
      <c r="E413" t="s">
        <v>836</v>
      </c>
      <c r="F413">
        <v>2091</v>
      </c>
      <c r="G413" t="s">
        <v>1133</v>
      </c>
      <c r="H413" t="s">
        <v>1322</v>
      </c>
      <c r="K413" t="s">
        <v>1437</v>
      </c>
      <c r="L413">
        <v>3</v>
      </c>
      <c r="M413">
        <v>0</v>
      </c>
      <c r="N413">
        <v>0</v>
      </c>
      <c r="O413" t="s">
        <v>1441</v>
      </c>
      <c r="P413">
        <v>63500</v>
      </c>
      <c r="Q413">
        <v>11208</v>
      </c>
      <c r="R413" t="s">
        <v>1447</v>
      </c>
      <c r="S413" t="s">
        <v>1466</v>
      </c>
      <c r="U413" t="s">
        <v>1478</v>
      </c>
      <c r="AC413">
        <v>0</v>
      </c>
      <c r="AD413">
        <v>0</v>
      </c>
      <c r="AF413">
        <v>0</v>
      </c>
      <c r="AG413">
        <v>0</v>
      </c>
      <c r="AH413">
        <v>0</v>
      </c>
      <c r="AI413">
        <v>0</v>
      </c>
    </row>
    <row r="414" spans="1:35">
      <c r="A414" s="1">
        <f>HYPERLINK("https://lsnyc.legalserver.org/matter/dynamic-profile/view/1892674","19-1892674")</f>
        <v>0</v>
      </c>
      <c r="B414" t="s">
        <v>38</v>
      </c>
      <c r="C414" t="s">
        <v>44</v>
      </c>
      <c r="D414" t="s">
        <v>401</v>
      </c>
      <c r="E414" t="s">
        <v>837</v>
      </c>
      <c r="F414">
        <v>2090</v>
      </c>
      <c r="G414" t="s">
        <v>1241</v>
      </c>
      <c r="H414" t="s">
        <v>1188</v>
      </c>
      <c r="I414" t="s">
        <v>1369</v>
      </c>
      <c r="K414" t="s">
        <v>1437</v>
      </c>
      <c r="L414">
        <v>2</v>
      </c>
      <c r="M414">
        <v>7</v>
      </c>
      <c r="N414">
        <v>0</v>
      </c>
      <c r="O414" t="s">
        <v>1441</v>
      </c>
      <c r="P414">
        <v>52020</v>
      </c>
      <c r="Q414">
        <v>10314</v>
      </c>
      <c r="R414" t="s">
        <v>1448</v>
      </c>
      <c r="S414" t="s">
        <v>1455</v>
      </c>
      <c r="U414" t="s">
        <v>1470</v>
      </c>
      <c r="Y414" t="s">
        <v>1498</v>
      </c>
      <c r="AC414">
        <v>0</v>
      </c>
      <c r="AD414">
        <v>0</v>
      </c>
      <c r="AF414">
        <v>0</v>
      </c>
      <c r="AG414">
        <v>0</v>
      </c>
      <c r="AH414">
        <v>0</v>
      </c>
      <c r="AI414">
        <v>0</v>
      </c>
    </row>
    <row r="415" spans="1:35">
      <c r="A415" s="1">
        <f>HYPERLINK("https://lsnyc.legalserver.org/matter/dynamic-profile/view/1894453","19-1894453")</f>
        <v>0</v>
      </c>
      <c r="B415" t="s">
        <v>36</v>
      </c>
      <c r="C415" t="s">
        <v>56</v>
      </c>
      <c r="D415" t="s">
        <v>402</v>
      </c>
      <c r="E415" t="s">
        <v>838</v>
      </c>
      <c r="F415">
        <v>2093</v>
      </c>
      <c r="G415" t="s">
        <v>1242</v>
      </c>
      <c r="H415" t="s">
        <v>1323</v>
      </c>
      <c r="I415" t="s">
        <v>1416</v>
      </c>
      <c r="K415" t="s">
        <v>1437</v>
      </c>
      <c r="L415">
        <v>3</v>
      </c>
      <c r="M415">
        <v>0</v>
      </c>
      <c r="N415">
        <v>0</v>
      </c>
      <c r="O415" t="s">
        <v>1440</v>
      </c>
      <c r="P415">
        <v>38200</v>
      </c>
      <c r="Q415">
        <v>11419</v>
      </c>
      <c r="R415" t="s">
        <v>1446</v>
      </c>
      <c r="S415" t="s">
        <v>1459</v>
      </c>
      <c r="U415" t="s">
        <v>1478</v>
      </c>
      <c r="AC415">
        <v>0</v>
      </c>
      <c r="AD415">
        <v>0</v>
      </c>
      <c r="AF415">
        <v>0</v>
      </c>
      <c r="AG415">
        <v>0</v>
      </c>
      <c r="AH415">
        <v>0</v>
      </c>
      <c r="AI415">
        <v>0</v>
      </c>
    </row>
    <row r="416" spans="1:35">
      <c r="A416" s="1">
        <f>HYPERLINK("https://lsnyc.legalserver.org/matter/dynamic-profile/view/1894570","19-1894570")</f>
        <v>0</v>
      </c>
      <c r="B416" t="s">
        <v>35</v>
      </c>
      <c r="C416" t="s">
        <v>46</v>
      </c>
      <c r="D416" t="s">
        <v>124</v>
      </c>
      <c r="E416" t="s">
        <v>793</v>
      </c>
      <c r="F416">
        <v>2094</v>
      </c>
      <c r="G416" t="s">
        <v>1194</v>
      </c>
      <c r="H416" t="s">
        <v>1187</v>
      </c>
      <c r="I416" t="s">
        <v>1348</v>
      </c>
      <c r="K416" t="s">
        <v>1437</v>
      </c>
      <c r="L416">
        <v>2</v>
      </c>
      <c r="M416">
        <v>0</v>
      </c>
      <c r="N416">
        <v>0</v>
      </c>
      <c r="O416" t="s">
        <v>1440</v>
      </c>
      <c r="P416">
        <v>115000</v>
      </c>
      <c r="Q416">
        <v>10466</v>
      </c>
      <c r="R416" t="s">
        <v>1445</v>
      </c>
      <c r="S416" t="s">
        <v>1465</v>
      </c>
      <c r="U416" t="s">
        <v>1472</v>
      </c>
      <c r="V416" t="s">
        <v>1470</v>
      </c>
      <c r="Y416" t="s">
        <v>1502</v>
      </c>
      <c r="AA416" t="s">
        <v>1498</v>
      </c>
      <c r="AC416">
        <v>0</v>
      </c>
      <c r="AD416">
        <v>0</v>
      </c>
      <c r="AF416">
        <v>0</v>
      </c>
      <c r="AG416">
        <v>0</v>
      </c>
      <c r="AH416">
        <v>0</v>
      </c>
      <c r="AI416">
        <v>0</v>
      </c>
    </row>
    <row r="417" spans="1:35">
      <c r="A417" s="1">
        <f>HYPERLINK("https://lsnyc.legalserver.org/matter/dynamic-profile/view/1894882","19-1894882")</f>
        <v>0</v>
      </c>
      <c r="B417" t="s">
        <v>38</v>
      </c>
      <c r="C417" t="s">
        <v>45</v>
      </c>
      <c r="D417" t="s">
        <v>403</v>
      </c>
      <c r="E417" t="s">
        <v>839</v>
      </c>
      <c r="F417">
        <v>2090</v>
      </c>
      <c r="G417" t="s">
        <v>1243</v>
      </c>
      <c r="H417" t="s">
        <v>1188</v>
      </c>
      <c r="I417" t="s">
        <v>1375</v>
      </c>
      <c r="K417" t="s">
        <v>1437</v>
      </c>
      <c r="L417">
        <v>1</v>
      </c>
      <c r="M417">
        <v>2</v>
      </c>
      <c r="N417">
        <v>0</v>
      </c>
      <c r="O417" t="s">
        <v>1441</v>
      </c>
      <c r="P417">
        <v>51996</v>
      </c>
      <c r="Q417">
        <v>10310</v>
      </c>
      <c r="R417" t="s">
        <v>1448</v>
      </c>
      <c r="S417" t="s">
        <v>1453</v>
      </c>
      <c r="T417" t="s">
        <v>1452</v>
      </c>
      <c r="U417" t="s">
        <v>1472</v>
      </c>
      <c r="V417" t="s">
        <v>1473</v>
      </c>
      <c r="Y417" t="s">
        <v>1502</v>
      </c>
      <c r="AC417">
        <v>0</v>
      </c>
      <c r="AD417">
        <v>0</v>
      </c>
      <c r="AF417">
        <v>0</v>
      </c>
      <c r="AG417">
        <v>0</v>
      </c>
      <c r="AH417">
        <v>0</v>
      </c>
      <c r="AI417">
        <v>0</v>
      </c>
    </row>
    <row r="418" spans="1:35">
      <c r="A418" s="1">
        <f>HYPERLINK("https://lsnyc.legalserver.org/matter/dynamic-profile/view/1894997","19-1894997")</f>
        <v>0</v>
      </c>
      <c r="B418" t="s">
        <v>38</v>
      </c>
      <c r="C418" t="s">
        <v>44</v>
      </c>
      <c r="D418" t="s">
        <v>135</v>
      </c>
      <c r="E418" t="s">
        <v>802</v>
      </c>
      <c r="F418">
        <v>2090</v>
      </c>
      <c r="G418" t="s">
        <v>1243</v>
      </c>
      <c r="H418" t="s">
        <v>1318</v>
      </c>
      <c r="K418" t="s">
        <v>1437</v>
      </c>
      <c r="L418">
        <v>3</v>
      </c>
      <c r="M418">
        <v>1</v>
      </c>
      <c r="N418">
        <v>0</v>
      </c>
      <c r="O418" t="s">
        <v>1440</v>
      </c>
      <c r="P418">
        <v>38264</v>
      </c>
      <c r="Q418">
        <v>10301</v>
      </c>
      <c r="R418" t="s">
        <v>1448</v>
      </c>
      <c r="S418" t="s">
        <v>1461</v>
      </c>
      <c r="U418" t="s">
        <v>1474</v>
      </c>
      <c r="V418" t="s">
        <v>1482</v>
      </c>
      <c r="AC418">
        <v>0</v>
      </c>
      <c r="AD418">
        <v>0</v>
      </c>
      <c r="AF418">
        <v>0</v>
      </c>
      <c r="AG418">
        <v>0</v>
      </c>
      <c r="AH418">
        <v>0</v>
      </c>
      <c r="AI418">
        <v>0</v>
      </c>
    </row>
    <row r="419" spans="1:35">
      <c r="A419" s="1">
        <f>HYPERLINK("https://lsnyc.legalserver.org/matter/dynamic-profile/view/1894970","19-1894970")</f>
        <v>0</v>
      </c>
      <c r="B419" t="s">
        <v>38</v>
      </c>
      <c r="C419" t="s">
        <v>48</v>
      </c>
      <c r="D419" t="s">
        <v>404</v>
      </c>
      <c r="E419" t="s">
        <v>840</v>
      </c>
      <c r="F419">
        <v>2090</v>
      </c>
      <c r="G419" t="s">
        <v>1244</v>
      </c>
      <c r="H419" t="s">
        <v>1316</v>
      </c>
      <c r="I419" t="s">
        <v>1338</v>
      </c>
      <c r="K419" t="s">
        <v>1437</v>
      </c>
      <c r="L419">
        <v>2</v>
      </c>
      <c r="M419">
        <v>3</v>
      </c>
      <c r="N419">
        <v>0</v>
      </c>
      <c r="P419">
        <v>96000</v>
      </c>
      <c r="Q419">
        <v>10304</v>
      </c>
      <c r="R419" t="s">
        <v>1448</v>
      </c>
      <c r="S419" t="s">
        <v>1454</v>
      </c>
      <c r="U419" t="s">
        <v>1473</v>
      </c>
      <c r="V419" t="s">
        <v>1472</v>
      </c>
      <c r="Y419" t="s">
        <v>1502</v>
      </c>
      <c r="AC419">
        <v>0</v>
      </c>
      <c r="AD419">
        <v>0</v>
      </c>
      <c r="AF419">
        <v>0</v>
      </c>
      <c r="AG419">
        <v>0</v>
      </c>
      <c r="AH419">
        <v>0</v>
      </c>
      <c r="AI419">
        <v>0</v>
      </c>
    </row>
    <row r="420" spans="1:35">
      <c r="A420" s="1">
        <f>HYPERLINK("https://lsnyc.legalserver.org/matter/dynamic-profile/view/1895271","19-1895271")</f>
        <v>0</v>
      </c>
      <c r="B420" t="s">
        <v>37</v>
      </c>
      <c r="C420" t="s">
        <v>50</v>
      </c>
      <c r="D420" t="s">
        <v>405</v>
      </c>
      <c r="E420" t="s">
        <v>841</v>
      </c>
      <c r="F420">
        <v>2091</v>
      </c>
      <c r="G420" t="s">
        <v>1245</v>
      </c>
      <c r="H420" t="s">
        <v>1175</v>
      </c>
      <c r="I420" t="s">
        <v>1344</v>
      </c>
      <c r="J420" t="s">
        <v>1344</v>
      </c>
      <c r="K420" t="s">
        <v>1437</v>
      </c>
      <c r="L420">
        <v>3</v>
      </c>
      <c r="M420">
        <v>2</v>
      </c>
      <c r="N420">
        <v>1</v>
      </c>
      <c r="O420" t="s">
        <v>1441</v>
      </c>
      <c r="P420">
        <v>152400</v>
      </c>
      <c r="Q420">
        <v>20814</v>
      </c>
      <c r="R420" t="s">
        <v>1447</v>
      </c>
      <c r="S420" t="s">
        <v>1455</v>
      </c>
      <c r="U420" t="s">
        <v>1475</v>
      </c>
      <c r="AC420">
        <v>0</v>
      </c>
      <c r="AD420">
        <v>0</v>
      </c>
      <c r="AF420">
        <v>0</v>
      </c>
      <c r="AG420">
        <v>0</v>
      </c>
      <c r="AH420">
        <v>0</v>
      </c>
      <c r="AI420">
        <v>0</v>
      </c>
    </row>
    <row r="421" spans="1:35">
      <c r="A421" s="1">
        <f>HYPERLINK("https://lsnyc.legalserver.org/matter/dynamic-profile/view/1896210","19-1896210")</f>
        <v>0</v>
      </c>
      <c r="B421" t="s">
        <v>36</v>
      </c>
      <c r="C421" t="s">
        <v>55</v>
      </c>
      <c r="D421" t="s">
        <v>266</v>
      </c>
      <c r="E421" t="s">
        <v>706</v>
      </c>
      <c r="F421">
        <v>2093</v>
      </c>
      <c r="G421" t="s">
        <v>1245</v>
      </c>
      <c r="H421" t="s">
        <v>1322</v>
      </c>
      <c r="I421" t="s">
        <v>1358</v>
      </c>
      <c r="K421" t="s">
        <v>1437</v>
      </c>
      <c r="L421">
        <v>3</v>
      </c>
      <c r="M421">
        <v>0</v>
      </c>
      <c r="N421">
        <v>1</v>
      </c>
      <c r="O421" t="s">
        <v>1443</v>
      </c>
      <c r="P421">
        <v>49159.44</v>
      </c>
      <c r="Q421">
        <v>11423</v>
      </c>
      <c r="R421" t="s">
        <v>1446</v>
      </c>
      <c r="S421" t="s">
        <v>1454</v>
      </c>
      <c r="U421" t="s">
        <v>1478</v>
      </c>
      <c r="W421" t="s">
        <v>1496</v>
      </c>
      <c r="AC421">
        <v>0</v>
      </c>
      <c r="AD421">
        <v>0</v>
      </c>
      <c r="AF421">
        <v>0</v>
      </c>
      <c r="AG421">
        <v>0</v>
      </c>
      <c r="AH421">
        <v>0</v>
      </c>
      <c r="AI421">
        <v>0</v>
      </c>
    </row>
    <row r="422" spans="1:35">
      <c r="A422" s="1">
        <f>HYPERLINK("https://lsnyc.legalserver.org/matter/dynamic-profile/view/1897991","19-1897991")</f>
        <v>0</v>
      </c>
      <c r="B422" t="s">
        <v>35</v>
      </c>
      <c r="C422" t="s">
        <v>43</v>
      </c>
      <c r="D422" t="s">
        <v>406</v>
      </c>
      <c r="E422" t="s">
        <v>842</v>
      </c>
      <c r="F422">
        <v>2094</v>
      </c>
      <c r="G422" t="s">
        <v>1246</v>
      </c>
      <c r="H422" t="s">
        <v>989</v>
      </c>
      <c r="I422" t="s">
        <v>1329</v>
      </c>
      <c r="K422" t="s">
        <v>1437</v>
      </c>
      <c r="L422">
        <v>6</v>
      </c>
      <c r="M422">
        <v>0</v>
      </c>
      <c r="N422">
        <v>0</v>
      </c>
      <c r="O422" t="s">
        <v>1441</v>
      </c>
      <c r="P422">
        <v>48000</v>
      </c>
      <c r="Q422">
        <v>10469</v>
      </c>
      <c r="R422" t="s">
        <v>1445</v>
      </c>
      <c r="S422" t="s">
        <v>1453</v>
      </c>
      <c r="U422" t="s">
        <v>1475</v>
      </c>
      <c r="Y422" t="s">
        <v>1498</v>
      </c>
      <c r="AC422">
        <v>0</v>
      </c>
      <c r="AD422">
        <v>0</v>
      </c>
      <c r="AF422">
        <v>0</v>
      </c>
      <c r="AG422">
        <v>0</v>
      </c>
      <c r="AH422">
        <v>0</v>
      </c>
      <c r="AI422">
        <v>0</v>
      </c>
    </row>
    <row r="423" spans="1:35">
      <c r="A423" s="1">
        <f>HYPERLINK("https://lsnyc.legalserver.org/matter/dynamic-profile/view/1899393","19-1899393")</f>
        <v>0</v>
      </c>
      <c r="B423" t="s">
        <v>35</v>
      </c>
      <c r="C423" t="s">
        <v>61</v>
      </c>
      <c r="D423" t="s">
        <v>407</v>
      </c>
      <c r="E423" t="s">
        <v>843</v>
      </c>
      <c r="F423">
        <v>2094</v>
      </c>
      <c r="G423" t="s">
        <v>1142</v>
      </c>
      <c r="H423" t="s">
        <v>1322</v>
      </c>
      <c r="I423" t="s">
        <v>1329</v>
      </c>
      <c r="K423" t="s">
        <v>1437</v>
      </c>
      <c r="L423">
        <v>1</v>
      </c>
      <c r="M423">
        <v>0</v>
      </c>
      <c r="N423">
        <v>0</v>
      </c>
      <c r="O423" t="s">
        <v>1439</v>
      </c>
      <c r="P423">
        <v>14216.02</v>
      </c>
      <c r="Q423">
        <v>10462</v>
      </c>
      <c r="R423" t="s">
        <v>1445</v>
      </c>
      <c r="S423" t="s">
        <v>1454</v>
      </c>
      <c r="T423" t="s">
        <v>1465</v>
      </c>
      <c r="U423" t="s">
        <v>1470</v>
      </c>
      <c r="V423" t="s">
        <v>1487</v>
      </c>
      <c r="AC423">
        <v>0</v>
      </c>
      <c r="AD423">
        <v>0</v>
      </c>
      <c r="AF423">
        <v>0</v>
      </c>
      <c r="AG423">
        <v>0</v>
      </c>
      <c r="AH423">
        <v>0</v>
      </c>
      <c r="AI423">
        <v>0</v>
      </c>
    </row>
    <row r="424" spans="1:35">
      <c r="A424" s="1">
        <f>HYPERLINK("https://lsnyc.legalserver.org/matter/dynamic-profile/view/1900339","19-1900339")</f>
        <v>0</v>
      </c>
      <c r="B424" t="s">
        <v>36</v>
      </c>
      <c r="C424" t="s">
        <v>49</v>
      </c>
      <c r="D424" t="s">
        <v>408</v>
      </c>
      <c r="E424" t="s">
        <v>844</v>
      </c>
      <c r="F424">
        <v>2093</v>
      </c>
      <c r="G424" t="s">
        <v>1247</v>
      </c>
      <c r="H424" t="s">
        <v>1185</v>
      </c>
      <c r="I424" t="s">
        <v>1421</v>
      </c>
      <c r="K424" t="s">
        <v>1437</v>
      </c>
      <c r="L424">
        <v>1</v>
      </c>
      <c r="M424">
        <v>1</v>
      </c>
      <c r="N424">
        <v>0</v>
      </c>
      <c r="O424" t="s">
        <v>1441</v>
      </c>
      <c r="P424">
        <v>55200</v>
      </c>
      <c r="Q424">
        <v>11429</v>
      </c>
      <c r="R424" t="s">
        <v>1446</v>
      </c>
      <c r="S424" t="s">
        <v>1453</v>
      </c>
      <c r="U424" t="s">
        <v>1478</v>
      </c>
      <c r="AC424">
        <v>0</v>
      </c>
      <c r="AD424">
        <v>0</v>
      </c>
      <c r="AF424">
        <v>0</v>
      </c>
      <c r="AG424">
        <v>0</v>
      </c>
      <c r="AH424">
        <v>0</v>
      </c>
      <c r="AI424">
        <v>0</v>
      </c>
    </row>
    <row r="425" spans="1:35">
      <c r="A425" s="1">
        <f>HYPERLINK("https://lsnyc.legalserver.org/matter/dynamic-profile/view/1901192","19-1901192")</f>
        <v>0</v>
      </c>
      <c r="B425" t="s">
        <v>36</v>
      </c>
      <c r="C425" t="s">
        <v>51</v>
      </c>
      <c r="D425" t="s">
        <v>399</v>
      </c>
      <c r="E425" t="s">
        <v>845</v>
      </c>
      <c r="F425">
        <v>2093</v>
      </c>
      <c r="G425" t="s">
        <v>1145</v>
      </c>
      <c r="H425" t="s">
        <v>994</v>
      </c>
      <c r="I425" t="s">
        <v>1342</v>
      </c>
      <c r="K425" t="s">
        <v>1437</v>
      </c>
      <c r="L425">
        <v>4</v>
      </c>
      <c r="M425">
        <v>0</v>
      </c>
      <c r="N425">
        <v>0</v>
      </c>
      <c r="O425" t="s">
        <v>1441</v>
      </c>
      <c r="P425">
        <v>66632</v>
      </c>
      <c r="Q425">
        <v>11422</v>
      </c>
      <c r="R425" t="s">
        <v>1446</v>
      </c>
      <c r="S425" t="s">
        <v>1453</v>
      </c>
      <c r="U425" t="s">
        <v>1472</v>
      </c>
      <c r="AC425">
        <v>0</v>
      </c>
      <c r="AD425">
        <v>0</v>
      </c>
      <c r="AF425">
        <v>0</v>
      </c>
      <c r="AG425">
        <v>0</v>
      </c>
      <c r="AH425">
        <v>0</v>
      </c>
      <c r="AI425">
        <v>0</v>
      </c>
    </row>
    <row r="426" spans="1:35">
      <c r="A426" s="1">
        <f>HYPERLINK("https://lsnyc.legalserver.org/matter/dynamic-profile/view/1901817","19-1901817")</f>
        <v>0</v>
      </c>
      <c r="B426" t="s">
        <v>36</v>
      </c>
      <c r="C426" t="s">
        <v>59</v>
      </c>
      <c r="D426" t="s">
        <v>409</v>
      </c>
      <c r="E426" t="s">
        <v>846</v>
      </c>
      <c r="F426">
        <v>2093</v>
      </c>
      <c r="G426" t="s">
        <v>1198</v>
      </c>
      <c r="H426" t="s">
        <v>990</v>
      </c>
      <c r="I426" t="s">
        <v>1347</v>
      </c>
      <c r="K426" t="s">
        <v>1437</v>
      </c>
      <c r="L426">
        <v>1</v>
      </c>
      <c r="M426">
        <v>0</v>
      </c>
      <c r="N426">
        <v>0</v>
      </c>
      <c r="O426" t="s">
        <v>1441</v>
      </c>
      <c r="P426">
        <v>24000</v>
      </c>
      <c r="Q426">
        <v>11422</v>
      </c>
      <c r="R426" t="s">
        <v>1446</v>
      </c>
      <c r="S426" t="s">
        <v>1454</v>
      </c>
      <c r="U426" t="s">
        <v>1470</v>
      </c>
      <c r="AC426">
        <v>0</v>
      </c>
      <c r="AD426">
        <v>0</v>
      </c>
      <c r="AF426">
        <v>0</v>
      </c>
      <c r="AG426">
        <v>0</v>
      </c>
      <c r="AH426">
        <v>0</v>
      </c>
      <c r="AI426">
        <v>0</v>
      </c>
    </row>
    <row r="427" spans="1:35">
      <c r="A427" s="1">
        <f>HYPERLINK("https://lsnyc.legalserver.org/matter/dynamic-profile/view/1902840","19-1902840")</f>
        <v>0</v>
      </c>
      <c r="B427" t="s">
        <v>35</v>
      </c>
      <c r="C427" t="s">
        <v>43</v>
      </c>
      <c r="D427" t="s">
        <v>410</v>
      </c>
      <c r="E427" t="s">
        <v>806</v>
      </c>
      <c r="F427">
        <v>2094</v>
      </c>
      <c r="G427" t="s">
        <v>1016</v>
      </c>
      <c r="H427" t="s">
        <v>1320</v>
      </c>
      <c r="I427" t="s">
        <v>1371</v>
      </c>
      <c r="K427" t="s">
        <v>1437</v>
      </c>
      <c r="L427">
        <v>2</v>
      </c>
      <c r="M427">
        <v>0</v>
      </c>
      <c r="N427">
        <v>1</v>
      </c>
      <c r="O427" t="s">
        <v>1441</v>
      </c>
      <c r="P427">
        <v>35808</v>
      </c>
      <c r="Q427">
        <v>10456</v>
      </c>
      <c r="R427" t="s">
        <v>1445</v>
      </c>
      <c r="S427" t="s">
        <v>1464</v>
      </c>
      <c r="U427" t="s">
        <v>1475</v>
      </c>
      <c r="Y427" t="s">
        <v>1498</v>
      </c>
      <c r="AC427">
        <v>0</v>
      </c>
      <c r="AD427">
        <v>0</v>
      </c>
      <c r="AF427">
        <v>0</v>
      </c>
      <c r="AG427">
        <v>0</v>
      </c>
      <c r="AH427">
        <v>0</v>
      </c>
      <c r="AI427">
        <v>0</v>
      </c>
    </row>
    <row r="428" spans="1:35">
      <c r="A428" s="1">
        <f>HYPERLINK("https://lsnyc.legalserver.org/matter/dynamic-profile/view/1902857","19-1902857")</f>
        <v>0</v>
      </c>
      <c r="B428" t="s">
        <v>35</v>
      </c>
      <c r="C428" t="s">
        <v>43</v>
      </c>
      <c r="D428" t="s">
        <v>411</v>
      </c>
      <c r="E428" t="s">
        <v>847</v>
      </c>
      <c r="F428">
        <v>2094</v>
      </c>
      <c r="G428" t="s">
        <v>1016</v>
      </c>
      <c r="H428" t="s">
        <v>1321</v>
      </c>
      <c r="I428" t="s">
        <v>1353</v>
      </c>
      <c r="K428" t="s">
        <v>1437</v>
      </c>
      <c r="L428">
        <v>5</v>
      </c>
      <c r="M428">
        <v>0</v>
      </c>
      <c r="N428">
        <v>1</v>
      </c>
      <c r="O428" t="s">
        <v>1440</v>
      </c>
      <c r="P428">
        <v>50000</v>
      </c>
      <c r="Q428">
        <v>10466</v>
      </c>
      <c r="R428" t="s">
        <v>1445</v>
      </c>
      <c r="S428" t="s">
        <v>1452</v>
      </c>
      <c r="U428" t="s">
        <v>1470</v>
      </c>
      <c r="Y428" t="s">
        <v>1498</v>
      </c>
      <c r="AC428">
        <v>0</v>
      </c>
      <c r="AD428">
        <v>0</v>
      </c>
      <c r="AF428">
        <v>0</v>
      </c>
      <c r="AG428">
        <v>0</v>
      </c>
      <c r="AH428">
        <v>0</v>
      </c>
      <c r="AI428">
        <v>0</v>
      </c>
    </row>
    <row r="429" spans="1:35">
      <c r="A429" s="1">
        <f>HYPERLINK("https://lsnyc.legalserver.org/matter/dynamic-profile/view/1903018","19-1903018")</f>
        <v>0</v>
      </c>
      <c r="B429" t="s">
        <v>36</v>
      </c>
      <c r="C429" t="s">
        <v>56</v>
      </c>
      <c r="D429" t="s">
        <v>412</v>
      </c>
      <c r="E429" t="s">
        <v>848</v>
      </c>
      <c r="F429">
        <v>2093</v>
      </c>
      <c r="G429" t="s">
        <v>1149</v>
      </c>
      <c r="H429" t="s">
        <v>1315</v>
      </c>
      <c r="I429" t="s">
        <v>1344</v>
      </c>
      <c r="K429" t="s">
        <v>1437</v>
      </c>
      <c r="L429">
        <v>1</v>
      </c>
      <c r="M429">
        <v>0</v>
      </c>
      <c r="N429">
        <v>1</v>
      </c>
      <c r="O429" t="s">
        <v>1440</v>
      </c>
      <c r="P429">
        <v>23400</v>
      </c>
      <c r="Q429">
        <v>11429</v>
      </c>
      <c r="R429" t="s">
        <v>1446</v>
      </c>
      <c r="S429" t="s">
        <v>1454</v>
      </c>
      <c r="U429" t="s">
        <v>1472</v>
      </c>
      <c r="Y429" t="s">
        <v>1502</v>
      </c>
      <c r="AC429">
        <v>0</v>
      </c>
      <c r="AD429">
        <v>0</v>
      </c>
      <c r="AF429">
        <v>0</v>
      </c>
      <c r="AG429">
        <v>0</v>
      </c>
      <c r="AH429">
        <v>0</v>
      </c>
      <c r="AI429">
        <v>0</v>
      </c>
    </row>
    <row r="430" spans="1:35">
      <c r="A430" s="1">
        <f>HYPERLINK("https://lsnyc.legalserver.org/matter/dynamic-profile/view/1900314","19-1900314")</f>
        <v>0</v>
      </c>
      <c r="B430" t="s">
        <v>38</v>
      </c>
      <c r="C430" t="s">
        <v>45</v>
      </c>
      <c r="D430" t="s">
        <v>413</v>
      </c>
      <c r="E430" t="s">
        <v>849</v>
      </c>
      <c r="F430">
        <v>2090</v>
      </c>
      <c r="G430" t="s">
        <v>1150</v>
      </c>
      <c r="H430" t="s">
        <v>1313</v>
      </c>
      <c r="I430" t="s">
        <v>1358</v>
      </c>
      <c r="K430" t="s">
        <v>1437</v>
      </c>
      <c r="L430">
        <v>5</v>
      </c>
      <c r="M430">
        <v>0</v>
      </c>
      <c r="N430">
        <v>0</v>
      </c>
      <c r="P430">
        <v>74000</v>
      </c>
      <c r="Q430">
        <v>10304</v>
      </c>
      <c r="R430" t="s">
        <v>1448</v>
      </c>
      <c r="S430" t="s">
        <v>1463</v>
      </c>
      <c r="U430" t="s">
        <v>1470</v>
      </c>
      <c r="AC430">
        <v>0</v>
      </c>
      <c r="AD430">
        <v>0</v>
      </c>
      <c r="AF430">
        <v>0</v>
      </c>
      <c r="AG430">
        <v>0</v>
      </c>
      <c r="AH430">
        <v>0</v>
      </c>
      <c r="AI430">
        <v>0</v>
      </c>
    </row>
    <row r="431" spans="1:35">
      <c r="A431" s="1">
        <f>HYPERLINK("https://lsnyc.legalserver.org/matter/dynamic-profile/view/1903564","19-1903564")</f>
        <v>0</v>
      </c>
      <c r="B431" t="s">
        <v>35</v>
      </c>
      <c r="C431" t="s">
        <v>39</v>
      </c>
      <c r="D431" t="s">
        <v>207</v>
      </c>
      <c r="E431" t="s">
        <v>850</v>
      </c>
      <c r="F431">
        <v>2094</v>
      </c>
      <c r="G431" t="s">
        <v>1150</v>
      </c>
      <c r="H431" t="s">
        <v>1252</v>
      </c>
      <c r="I431" t="s">
        <v>1338</v>
      </c>
      <c r="J431" t="s">
        <v>1394</v>
      </c>
      <c r="K431" t="s">
        <v>1437</v>
      </c>
      <c r="L431">
        <v>3</v>
      </c>
      <c r="M431">
        <v>2</v>
      </c>
      <c r="N431">
        <v>1</v>
      </c>
      <c r="O431" t="s">
        <v>1441</v>
      </c>
      <c r="P431">
        <v>55424</v>
      </c>
      <c r="Q431">
        <v>10473</v>
      </c>
      <c r="R431" t="s">
        <v>1445</v>
      </c>
      <c r="S431" t="s">
        <v>1456</v>
      </c>
      <c r="U431" t="s">
        <v>1475</v>
      </c>
      <c r="Y431" t="s">
        <v>1498</v>
      </c>
      <c r="AC431">
        <v>0</v>
      </c>
      <c r="AD431">
        <v>0</v>
      </c>
      <c r="AF431">
        <v>0</v>
      </c>
      <c r="AG431">
        <v>0</v>
      </c>
      <c r="AH431">
        <v>0</v>
      </c>
      <c r="AI431">
        <v>0</v>
      </c>
    </row>
    <row r="432" spans="1:35">
      <c r="A432" s="1">
        <f>HYPERLINK("https://lsnyc.legalserver.org/matter/dynamic-profile/view/1903646","19-1903646")</f>
        <v>0</v>
      </c>
      <c r="B432" t="s">
        <v>36</v>
      </c>
      <c r="C432" t="s">
        <v>49</v>
      </c>
      <c r="D432" t="s">
        <v>414</v>
      </c>
      <c r="E432" t="s">
        <v>851</v>
      </c>
      <c r="F432">
        <v>2093</v>
      </c>
      <c r="G432" t="s">
        <v>1035</v>
      </c>
      <c r="H432" t="s">
        <v>1252</v>
      </c>
      <c r="I432" t="s">
        <v>1386</v>
      </c>
      <c r="K432" t="s">
        <v>1437</v>
      </c>
      <c r="L432">
        <v>5</v>
      </c>
      <c r="M432">
        <v>2</v>
      </c>
      <c r="N432">
        <v>0</v>
      </c>
      <c r="O432" t="s">
        <v>1442</v>
      </c>
      <c r="P432">
        <v>122568</v>
      </c>
      <c r="Q432">
        <v>11377</v>
      </c>
      <c r="R432" t="s">
        <v>1446</v>
      </c>
      <c r="S432" t="s">
        <v>1453</v>
      </c>
      <c r="U432" t="s">
        <v>1472</v>
      </c>
      <c r="V432" t="s">
        <v>1470</v>
      </c>
      <c r="AC432">
        <v>0</v>
      </c>
      <c r="AD432">
        <v>0</v>
      </c>
      <c r="AF432">
        <v>0</v>
      </c>
      <c r="AG432">
        <v>0</v>
      </c>
      <c r="AH432">
        <v>0</v>
      </c>
      <c r="AI432">
        <v>0</v>
      </c>
    </row>
    <row r="433" spans="1:35">
      <c r="A433" s="1">
        <f>HYPERLINK("https://lsnyc.legalserver.org/matter/dynamic-profile/view/1902174","19-1902174")</f>
        <v>0</v>
      </c>
      <c r="B433" t="s">
        <v>38</v>
      </c>
      <c r="C433" t="s">
        <v>48</v>
      </c>
      <c r="D433" t="s">
        <v>415</v>
      </c>
      <c r="E433" t="s">
        <v>852</v>
      </c>
      <c r="F433">
        <v>2090</v>
      </c>
      <c r="G433" t="s">
        <v>1152</v>
      </c>
      <c r="H433" t="s">
        <v>1163</v>
      </c>
      <c r="I433" t="s">
        <v>1337</v>
      </c>
      <c r="K433" t="s">
        <v>1437</v>
      </c>
      <c r="L433">
        <v>1</v>
      </c>
      <c r="M433">
        <v>1</v>
      </c>
      <c r="N433">
        <v>0</v>
      </c>
      <c r="P433">
        <v>15000</v>
      </c>
      <c r="Q433">
        <v>10305</v>
      </c>
      <c r="R433" t="s">
        <v>1448</v>
      </c>
      <c r="S433" t="s">
        <v>1458</v>
      </c>
      <c r="U433" t="s">
        <v>1472</v>
      </c>
      <c r="Y433" t="s">
        <v>1502</v>
      </c>
      <c r="AA433" t="s">
        <v>1498</v>
      </c>
      <c r="AC433">
        <v>0</v>
      </c>
      <c r="AD433">
        <v>0</v>
      </c>
      <c r="AF433">
        <v>0</v>
      </c>
      <c r="AG433">
        <v>0</v>
      </c>
      <c r="AH433">
        <v>0</v>
      </c>
      <c r="AI433">
        <v>0</v>
      </c>
    </row>
    <row r="434" spans="1:35">
      <c r="A434" s="1">
        <f>HYPERLINK("https://lsnyc.legalserver.org/matter/dynamic-profile/view/1903505","19-1903505")</f>
        <v>0</v>
      </c>
      <c r="B434" t="s">
        <v>38</v>
      </c>
      <c r="C434" t="s">
        <v>45</v>
      </c>
      <c r="D434" t="s">
        <v>416</v>
      </c>
      <c r="E434" t="s">
        <v>804</v>
      </c>
      <c r="F434">
        <v>2090</v>
      </c>
      <c r="G434" t="s">
        <v>1248</v>
      </c>
      <c r="H434" t="s">
        <v>1188</v>
      </c>
      <c r="I434" t="s">
        <v>1342</v>
      </c>
      <c r="K434" t="s">
        <v>1437</v>
      </c>
      <c r="L434">
        <v>4</v>
      </c>
      <c r="M434">
        <v>1</v>
      </c>
      <c r="N434">
        <v>0</v>
      </c>
      <c r="P434">
        <v>96000</v>
      </c>
      <c r="Q434">
        <v>10312</v>
      </c>
      <c r="R434" t="s">
        <v>1448</v>
      </c>
      <c r="S434" t="s">
        <v>1455</v>
      </c>
      <c r="U434" t="s">
        <v>1475</v>
      </c>
      <c r="AC434">
        <v>0</v>
      </c>
      <c r="AD434">
        <v>0</v>
      </c>
      <c r="AF434">
        <v>0</v>
      </c>
      <c r="AG434">
        <v>0</v>
      </c>
      <c r="AH434">
        <v>0</v>
      </c>
      <c r="AI434">
        <v>0</v>
      </c>
    </row>
    <row r="435" spans="1:35">
      <c r="A435" s="1">
        <f>HYPERLINK("https://lsnyc.legalserver.org/matter/dynamic-profile/view/1900556","19-1900556")</f>
        <v>0</v>
      </c>
      <c r="B435" t="s">
        <v>35</v>
      </c>
      <c r="C435" t="s">
        <v>43</v>
      </c>
      <c r="D435" t="s">
        <v>417</v>
      </c>
      <c r="E435" t="s">
        <v>853</v>
      </c>
      <c r="F435">
        <v>2094</v>
      </c>
      <c r="G435" t="s">
        <v>1249</v>
      </c>
      <c r="H435" t="s">
        <v>1322</v>
      </c>
      <c r="I435" t="s">
        <v>1362</v>
      </c>
      <c r="K435" t="s">
        <v>1437</v>
      </c>
      <c r="L435">
        <v>2</v>
      </c>
      <c r="M435">
        <v>2</v>
      </c>
      <c r="N435">
        <v>0</v>
      </c>
      <c r="O435" t="s">
        <v>1439</v>
      </c>
      <c r="P435">
        <v>30820</v>
      </c>
      <c r="Q435">
        <v>10462</v>
      </c>
      <c r="R435" t="s">
        <v>1445</v>
      </c>
      <c r="S435" t="s">
        <v>1452</v>
      </c>
      <c r="T435" t="s">
        <v>1456</v>
      </c>
      <c r="AC435">
        <v>0</v>
      </c>
      <c r="AD435">
        <v>0</v>
      </c>
      <c r="AF435">
        <v>0</v>
      </c>
      <c r="AG435">
        <v>0</v>
      </c>
      <c r="AH435">
        <v>0</v>
      </c>
      <c r="AI435">
        <v>0</v>
      </c>
    </row>
    <row r="436" spans="1:35">
      <c r="A436" s="1">
        <f>HYPERLINK("https://lsnyc.legalserver.org/matter/dynamic-profile/view/1904562","19-1904562")</f>
        <v>0</v>
      </c>
      <c r="B436" t="s">
        <v>36</v>
      </c>
      <c r="C436" t="s">
        <v>49</v>
      </c>
      <c r="D436" t="s">
        <v>418</v>
      </c>
      <c r="E436" t="s">
        <v>854</v>
      </c>
      <c r="F436">
        <v>2093</v>
      </c>
      <c r="G436" t="s">
        <v>981</v>
      </c>
      <c r="H436" t="s">
        <v>1186</v>
      </c>
      <c r="I436" t="s">
        <v>1394</v>
      </c>
      <c r="K436" t="s">
        <v>1437</v>
      </c>
      <c r="L436">
        <v>1</v>
      </c>
      <c r="M436">
        <v>0</v>
      </c>
      <c r="N436">
        <v>0</v>
      </c>
      <c r="O436" t="s">
        <v>1439</v>
      </c>
      <c r="P436">
        <v>41860</v>
      </c>
      <c r="Q436">
        <v>11367</v>
      </c>
      <c r="R436" t="s">
        <v>1446</v>
      </c>
      <c r="S436" t="s">
        <v>1454</v>
      </c>
      <c r="U436" t="s">
        <v>1482</v>
      </c>
      <c r="AC436">
        <v>0</v>
      </c>
      <c r="AD436">
        <v>0</v>
      </c>
      <c r="AF436">
        <v>0</v>
      </c>
      <c r="AG436">
        <v>0</v>
      </c>
      <c r="AH436">
        <v>0</v>
      </c>
      <c r="AI436">
        <v>0</v>
      </c>
    </row>
    <row r="437" spans="1:35">
      <c r="A437" s="1">
        <f>HYPERLINK("https://lsnyc.legalserver.org/matter/dynamic-profile/view/1904587","19-1904587")</f>
        <v>0</v>
      </c>
      <c r="B437" t="s">
        <v>35</v>
      </c>
      <c r="C437" t="s">
        <v>39</v>
      </c>
      <c r="D437" t="s">
        <v>199</v>
      </c>
      <c r="E437" t="s">
        <v>855</v>
      </c>
      <c r="F437">
        <v>2094</v>
      </c>
      <c r="G437" t="s">
        <v>981</v>
      </c>
      <c r="H437" t="s">
        <v>1007</v>
      </c>
      <c r="I437" t="s">
        <v>1329</v>
      </c>
      <c r="K437" t="s">
        <v>1437</v>
      </c>
      <c r="L437">
        <v>2</v>
      </c>
      <c r="M437">
        <v>0</v>
      </c>
      <c r="N437">
        <v>1</v>
      </c>
      <c r="O437" t="s">
        <v>1442</v>
      </c>
      <c r="P437">
        <v>16656</v>
      </c>
      <c r="Q437">
        <v>10454</v>
      </c>
      <c r="R437" t="s">
        <v>1445</v>
      </c>
      <c r="S437" t="s">
        <v>1464</v>
      </c>
      <c r="AC437">
        <v>0</v>
      </c>
      <c r="AD437">
        <v>0</v>
      </c>
      <c r="AF437">
        <v>0</v>
      </c>
      <c r="AG437">
        <v>0</v>
      </c>
      <c r="AH437">
        <v>0</v>
      </c>
      <c r="AI437">
        <v>0</v>
      </c>
    </row>
    <row r="438" spans="1:35">
      <c r="A438" s="1">
        <f>HYPERLINK("https://lsnyc.legalserver.org/matter/dynamic-profile/view/1905344","19-1905344")</f>
        <v>0</v>
      </c>
      <c r="B438" t="s">
        <v>36</v>
      </c>
      <c r="C438" t="s">
        <v>51</v>
      </c>
      <c r="D438" t="s">
        <v>160</v>
      </c>
      <c r="E438" t="s">
        <v>856</v>
      </c>
      <c r="F438">
        <v>2093</v>
      </c>
      <c r="G438" t="s">
        <v>1250</v>
      </c>
      <c r="H438" t="s">
        <v>989</v>
      </c>
      <c r="K438" t="s">
        <v>1437</v>
      </c>
      <c r="L438">
        <v>1</v>
      </c>
      <c r="M438">
        <v>0</v>
      </c>
      <c r="N438">
        <v>1</v>
      </c>
      <c r="O438" t="s">
        <v>1440</v>
      </c>
      <c r="P438">
        <v>19200</v>
      </c>
      <c r="Q438">
        <v>11374</v>
      </c>
      <c r="R438" t="s">
        <v>1446</v>
      </c>
      <c r="S438" t="s">
        <v>1464</v>
      </c>
      <c r="T438" t="s">
        <v>1460</v>
      </c>
      <c r="U438" t="s">
        <v>1474</v>
      </c>
      <c r="AC438">
        <v>0</v>
      </c>
      <c r="AD438">
        <v>0</v>
      </c>
      <c r="AF438">
        <v>0</v>
      </c>
      <c r="AG438">
        <v>0</v>
      </c>
      <c r="AH438">
        <v>0</v>
      </c>
      <c r="AI438">
        <v>0</v>
      </c>
    </row>
    <row r="439" spans="1:35">
      <c r="A439" s="1">
        <f>HYPERLINK("https://lsnyc.legalserver.org/matter/dynamic-profile/view/1906205","19-1906205")</f>
        <v>0</v>
      </c>
      <c r="B439" t="s">
        <v>36</v>
      </c>
      <c r="C439" t="s">
        <v>52</v>
      </c>
      <c r="D439" t="s">
        <v>222</v>
      </c>
      <c r="E439" t="s">
        <v>441</v>
      </c>
      <c r="F439">
        <v>2093</v>
      </c>
      <c r="G439" t="s">
        <v>1155</v>
      </c>
      <c r="H439" t="s">
        <v>1317</v>
      </c>
      <c r="I439" t="s">
        <v>1364</v>
      </c>
      <c r="K439" t="s">
        <v>1437</v>
      </c>
      <c r="L439">
        <v>3</v>
      </c>
      <c r="M439">
        <v>0</v>
      </c>
      <c r="N439">
        <v>1</v>
      </c>
      <c r="O439" t="s">
        <v>1440</v>
      </c>
      <c r="P439">
        <v>39453</v>
      </c>
      <c r="Q439">
        <v>11412</v>
      </c>
      <c r="R439" t="s">
        <v>1446</v>
      </c>
      <c r="S439" t="s">
        <v>1464</v>
      </c>
      <c r="U439" t="s">
        <v>1472</v>
      </c>
      <c r="AC439">
        <v>0</v>
      </c>
      <c r="AD439">
        <v>0</v>
      </c>
      <c r="AF439">
        <v>0</v>
      </c>
      <c r="AG439">
        <v>0</v>
      </c>
      <c r="AH439">
        <v>0</v>
      </c>
      <c r="AI439">
        <v>0</v>
      </c>
    </row>
    <row r="440" spans="1:35">
      <c r="A440" s="1">
        <f>HYPERLINK("https://lsnyc.legalserver.org/matter/dynamic-profile/view/1905943","19-1905943")</f>
        <v>0</v>
      </c>
      <c r="B440" t="s">
        <v>38</v>
      </c>
      <c r="C440" t="s">
        <v>53</v>
      </c>
      <c r="D440" t="s">
        <v>419</v>
      </c>
      <c r="E440" t="s">
        <v>770</v>
      </c>
      <c r="F440">
        <v>2090</v>
      </c>
      <c r="G440" t="s">
        <v>1156</v>
      </c>
      <c r="H440" t="s">
        <v>1318</v>
      </c>
      <c r="I440" t="s">
        <v>1369</v>
      </c>
      <c r="K440" t="s">
        <v>1437</v>
      </c>
      <c r="L440">
        <v>1</v>
      </c>
      <c r="M440">
        <v>2</v>
      </c>
      <c r="N440">
        <v>0</v>
      </c>
      <c r="P440">
        <v>40608</v>
      </c>
      <c r="Q440">
        <v>10312</v>
      </c>
      <c r="R440" t="s">
        <v>1448</v>
      </c>
      <c r="S440" t="s">
        <v>1452</v>
      </c>
      <c r="U440" t="s">
        <v>1474</v>
      </c>
      <c r="AC440">
        <v>0</v>
      </c>
      <c r="AD440">
        <v>0</v>
      </c>
      <c r="AF440">
        <v>0</v>
      </c>
      <c r="AG440">
        <v>0</v>
      </c>
      <c r="AH440">
        <v>0</v>
      </c>
      <c r="AI440">
        <v>0</v>
      </c>
    </row>
    <row r="441" spans="1:35">
      <c r="A441" s="1">
        <f>HYPERLINK("https://lsnyc.legalserver.org/matter/dynamic-profile/view/1906718","19-1906718")</f>
        <v>0</v>
      </c>
      <c r="B441" t="s">
        <v>36</v>
      </c>
      <c r="C441" t="s">
        <v>49</v>
      </c>
      <c r="D441" t="s">
        <v>420</v>
      </c>
      <c r="E441" t="s">
        <v>857</v>
      </c>
      <c r="F441">
        <v>2093</v>
      </c>
      <c r="G441" t="s">
        <v>1251</v>
      </c>
      <c r="H441" t="s">
        <v>1318</v>
      </c>
      <c r="I441" t="s">
        <v>1369</v>
      </c>
      <c r="K441" t="s">
        <v>1437</v>
      </c>
      <c r="L441">
        <v>1</v>
      </c>
      <c r="M441">
        <v>0</v>
      </c>
      <c r="N441">
        <v>1</v>
      </c>
      <c r="O441" t="s">
        <v>1440</v>
      </c>
      <c r="P441">
        <v>33740</v>
      </c>
      <c r="Q441">
        <v>11429</v>
      </c>
      <c r="R441" t="s">
        <v>1446</v>
      </c>
      <c r="S441" t="s">
        <v>1454</v>
      </c>
      <c r="T441" t="s">
        <v>1453</v>
      </c>
      <c r="U441" t="s">
        <v>1478</v>
      </c>
      <c r="AC441">
        <v>0</v>
      </c>
      <c r="AD441">
        <v>0</v>
      </c>
      <c r="AF441">
        <v>0</v>
      </c>
      <c r="AG441">
        <v>0</v>
      </c>
      <c r="AH441">
        <v>0</v>
      </c>
      <c r="AI441">
        <v>0</v>
      </c>
    </row>
    <row r="442" spans="1:35">
      <c r="A442" s="1">
        <f>HYPERLINK("https://lsnyc.legalserver.org/matter/dynamic-profile/view/1906792","19-1906792")</f>
        <v>0</v>
      </c>
      <c r="B442" t="s">
        <v>35</v>
      </c>
      <c r="C442" t="s">
        <v>46</v>
      </c>
      <c r="D442" t="s">
        <v>270</v>
      </c>
      <c r="E442" t="s">
        <v>858</v>
      </c>
      <c r="F442">
        <v>2094</v>
      </c>
      <c r="G442" t="s">
        <v>1251</v>
      </c>
      <c r="H442" t="s">
        <v>1259</v>
      </c>
      <c r="J442" t="s">
        <v>1433</v>
      </c>
      <c r="K442" t="s">
        <v>1437</v>
      </c>
      <c r="L442">
        <v>1</v>
      </c>
      <c r="M442">
        <v>0</v>
      </c>
      <c r="N442">
        <v>0</v>
      </c>
      <c r="O442" t="s">
        <v>1441</v>
      </c>
      <c r="P442">
        <v>41600</v>
      </c>
      <c r="Q442">
        <v>10453</v>
      </c>
      <c r="R442" t="s">
        <v>1445</v>
      </c>
      <c r="S442" t="s">
        <v>1457</v>
      </c>
      <c r="AC442">
        <v>0</v>
      </c>
      <c r="AD442">
        <v>0</v>
      </c>
      <c r="AF442">
        <v>0</v>
      </c>
      <c r="AG442">
        <v>0</v>
      </c>
      <c r="AH442">
        <v>0</v>
      </c>
      <c r="AI442">
        <v>0</v>
      </c>
    </row>
    <row r="443" spans="1:35">
      <c r="A443" s="1">
        <f>HYPERLINK("https://lsnyc.legalserver.org/matter/dynamic-profile/view/1906966","19-1906966")</f>
        <v>0</v>
      </c>
      <c r="B443" t="s">
        <v>36</v>
      </c>
      <c r="C443" t="s">
        <v>40</v>
      </c>
      <c r="D443" t="s">
        <v>421</v>
      </c>
      <c r="E443" t="s">
        <v>353</v>
      </c>
      <c r="F443">
        <v>2093</v>
      </c>
      <c r="G443" t="s">
        <v>1000</v>
      </c>
      <c r="H443" t="s">
        <v>1317</v>
      </c>
      <c r="I443" t="s">
        <v>1422</v>
      </c>
      <c r="K443" t="s">
        <v>1437</v>
      </c>
      <c r="L443">
        <v>1</v>
      </c>
      <c r="M443">
        <v>0</v>
      </c>
      <c r="N443">
        <v>0</v>
      </c>
      <c r="O443" t="s">
        <v>1440</v>
      </c>
      <c r="P443">
        <v>30000</v>
      </c>
      <c r="Q443">
        <v>11433</v>
      </c>
      <c r="R443" t="s">
        <v>1446</v>
      </c>
      <c r="S443" t="s">
        <v>1456</v>
      </c>
      <c r="U443" t="s">
        <v>1473</v>
      </c>
      <c r="AC443">
        <v>0</v>
      </c>
      <c r="AD443">
        <v>0</v>
      </c>
      <c r="AF443">
        <v>0</v>
      </c>
      <c r="AG443">
        <v>0</v>
      </c>
      <c r="AH443">
        <v>0</v>
      </c>
      <c r="AI443">
        <v>0</v>
      </c>
    </row>
    <row r="444" spans="1:35">
      <c r="A444" s="1">
        <f>HYPERLINK("https://lsnyc.legalserver.org/matter/dynamic-profile/view/1906824","19-1906824")</f>
        <v>0</v>
      </c>
      <c r="B444" t="s">
        <v>38</v>
      </c>
      <c r="C444" t="s">
        <v>44</v>
      </c>
      <c r="D444" t="s">
        <v>87</v>
      </c>
      <c r="E444" t="s">
        <v>859</v>
      </c>
      <c r="F444">
        <v>2090</v>
      </c>
      <c r="G444" t="s">
        <v>1252</v>
      </c>
      <c r="H444" t="s">
        <v>1188</v>
      </c>
      <c r="I444" t="s">
        <v>1394</v>
      </c>
      <c r="K444" t="s">
        <v>1437</v>
      </c>
      <c r="L444">
        <v>4</v>
      </c>
      <c r="M444">
        <v>1</v>
      </c>
      <c r="N444">
        <v>0</v>
      </c>
      <c r="P444">
        <v>54420</v>
      </c>
      <c r="Q444">
        <v>10305</v>
      </c>
      <c r="R444" t="s">
        <v>1448</v>
      </c>
      <c r="S444" t="s">
        <v>1453</v>
      </c>
      <c r="U444" t="s">
        <v>1475</v>
      </c>
      <c r="AC444">
        <v>0</v>
      </c>
      <c r="AD444">
        <v>0</v>
      </c>
      <c r="AF444">
        <v>0</v>
      </c>
      <c r="AG444">
        <v>0</v>
      </c>
      <c r="AH444">
        <v>0</v>
      </c>
      <c r="AI444">
        <v>0</v>
      </c>
    </row>
    <row r="445" spans="1:35">
      <c r="A445" s="1">
        <f>HYPERLINK("https://lsnyc.legalserver.org/matter/dynamic-profile/view/1907474","19-1907474")</f>
        <v>0</v>
      </c>
      <c r="B445" t="s">
        <v>35</v>
      </c>
      <c r="C445" t="s">
        <v>46</v>
      </c>
      <c r="D445" t="s">
        <v>422</v>
      </c>
      <c r="E445" t="s">
        <v>860</v>
      </c>
      <c r="F445">
        <v>2094</v>
      </c>
      <c r="G445" t="s">
        <v>1192</v>
      </c>
      <c r="H445" t="s">
        <v>1186</v>
      </c>
      <c r="J445" t="s">
        <v>1386</v>
      </c>
      <c r="K445" t="s">
        <v>1437</v>
      </c>
      <c r="L445">
        <v>1</v>
      </c>
      <c r="M445">
        <v>0</v>
      </c>
      <c r="N445">
        <v>0</v>
      </c>
      <c r="O445" t="s">
        <v>1440</v>
      </c>
      <c r="P445">
        <v>32412</v>
      </c>
      <c r="Q445">
        <v>10469</v>
      </c>
      <c r="R445" t="s">
        <v>1445</v>
      </c>
      <c r="S445" t="s">
        <v>1453</v>
      </c>
      <c r="U445" t="s">
        <v>1475</v>
      </c>
      <c r="V445" t="s">
        <v>1473</v>
      </c>
      <c r="Y445" t="s">
        <v>1498</v>
      </c>
      <c r="AC445">
        <v>0</v>
      </c>
      <c r="AD445">
        <v>0</v>
      </c>
      <c r="AF445">
        <v>0</v>
      </c>
      <c r="AG445">
        <v>0</v>
      </c>
      <c r="AH445">
        <v>0</v>
      </c>
      <c r="AI445">
        <v>0</v>
      </c>
    </row>
    <row r="446" spans="1:35">
      <c r="A446" s="1">
        <f>HYPERLINK("https://lsnyc.legalserver.org/matter/dynamic-profile/view/1907547","19-1907547")</f>
        <v>0</v>
      </c>
      <c r="B446" t="s">
        <v>36</v>
      </c>
      <c r="C446" t="s">
        <v>52</v>
      </c>
      <c r="D446" t="s">
        <v>423</v>
      </c>
      <c r="E446" t="s">
        <v>860</v>
      </c>
      <c r="F446">
        <v>2093</v>
      </c>
      <c r="G446" t="s">
        <v>1158</v>
      </c>
      <c r="H446" t="s">
        <v>1316</v>
      </c>
      <c r="J446" t="s">
        <v>1421</v>
      </c>
      <c r="K446" t="s">
        <v>1437</v>
      </c>
      <c r="L446">
        <v>4</v>
      </c>
      <c r="M446">
        <v>1</v>
      </c>
      <c r="N446">
        <v>0</v>
      </c>
      <c r="O446" t="s">
        <v>1441</v>
      </c>
      <c r="P446">
        <v>54000</v>
      </c>
      <c r="Q446">
        <v>11368</v>
      </c>
      <c r="R446" t="s">
        <v>1446</v>
      </c>
      <c r="S446" t="s">
        <v>1457</v>
      </c>
      <c r="U446" t="s">
        <v>1473</v>
      </c>
      <c r="AC446">
        <v>0</v>
      </c>
      <c r="AD446">
        <v>0</v>
      </c>
      <c r="AF446">
        <v>0</v>
      </c>
      <c r="AG446">
        <v>0</v>
      </c>
      <c r="AH446">
        <v>0</v>
      </c>
      <c r="AI446">
        <v>0</v>
      </c>
    </row>
    <row r="447" spans="1:35">
      <c r="A447" s="1">
        <f>HYPERLINK("https://lsnyc.legalserver.org/matter/dynamic-profile/view/1908378","19-1908378")</f>
        <v>0</v>
      </c>
      <c r="B447" t="s">
        <v>35</v>
      </c>
      <c r="C447" t="s">
        <v>43</v>
      </c>
      <c r="D447" t="s">
        <v>424</v>
      </c>
      <c r="E447" t="s">
        <v>861</v>
      </c>
      <c r="F447">
        <v>2094</v>
      </c>
      <c r="G447" t="s">
        <v>990</v>
      </c>
      <c r="H447" t="s">
        <v>989</v>
      </c>
      <c r="I447" t="s">
        <v>1342</v>
      </c>
      <c r="K447" t="s">
        <v>1437</v>
      </c>
      <c r="L447">
        <v>2</v>
      </c>
      <c r="M447">
        <v>0</v>
      </c>
      <c r="N447">
        <v>0</v>
      </c>
      <c r="O447" t="s">
        <v>1441</v>
      </c>
      <c r="P447">
        <v>92400</v>
      </c>
      <c r="Q447">
        <v>10472</v>
      </c>
      <c r="R447" t="s">
        <v>1445</v>
      </c>
      <c r="S447" t="s">
        <v>1456</v>
      </c>
      <c r="U447" t="s">
        <v>1472</v>
      </c>
      <c r="Y447" t="s">
        <v>1502</v>
      </c>
      <c r="AC447">
        <v>0</v>
      </c>
      <c r="AD447">
        <v>0</v>
      </c>
      <c r="AF447">
        <v>0</v>
      </c>
      <c r="AG447">
        <v>0</v>
      </c>
      <c r="AH447">
        <v>0</v>
      </c>
      <c r="AI447">
        <v>0</v>
      </c>
    </row>
    <row r="448" spans="1:35">
      <c r="A448" s="1">
        <f>HYPERLINK("https://lsnyc.legalserver.org/matter/dynamic-profile/view/1908534","19-1908534")</f>
        <v>0</v>
      </c>
      <c r="B448" t="s">
        <v>35</v>
      </c>
      <c r="C448" t="s">
        <v>43</v>
      </c>
      <c r="D448" t="s">
        <v>425</v>
      </c>
      <c r="E448" t="s">
        <v>825</v>
      </c>
      <c r="F448">
        <v>2094</v>
      </c>
      <c r="G448" t="s">
        <v>970</v>
      </c>
      <c r="H448" t="s">
        <v>989</v>
      </c>
      <c r="I448" t="s">
        <v>1358</v>
      </c>
      <c r="K448" t="s">
        <v>1437</v>
      </c>
      <c r="L448">
        <v>2</v>
      </c>
      <c r="M448">
        <v>0</v>
      </c>
      <c r="N448">
        <v>1</v>
      </c>
      <c r="O448" t="s">
        <v>1444</v>
      </c>
      <c r="P448">
        <v>130000</v>
      </c>
      <c r="Q448">
        <v>10472</v>
      </c>
      <c r="R448" t="s">
        <v>1445</v>
      </c>
      <c r="S448" t="s">
        <v>1457</v>
      </c>
      <c r="U448" t="s">
        <v>1472</v>
      </c>
      <c r="V448" t="s">
        <v>1470</v>
      </c>
      <c r="Y448" t="s">
        <v>1502</v>
      </c>
      <c r="AA448" t="s">
        <v>1498</v>
      </c>
      <c r="AC448">
        <v>0</v>
      </c>
      <c r="AD448">
        <v>0</v>
      </c>
      <c r="AF448">
        <v>0</v>
      </c>
      <c r="AG448">
        <v>0</v>
      </c>
      <c r="AH448">
        <v>0</v>
      </c>
      <c r="AI448">
        <v>0</v>
      </c>
    </row>
    <row r="449" spans="1:35">
      <c r="A449" s="1">
        <f>HYPERLINK("https://lsnyc.legalserver.org/matter/dynamic-profile/view/1908771","19-1908771")</f>
        <v>0</v>
      </c>
      <c r="B449" t="s">
        <v>36</v>
      </c>
      <c r="C449" t="s">
        <v>56</v>
      </c>
      <c r="D449" t="s">
        <v>426</v>
      </c>
      <c r="E449" t="s">
        <v>862</v>
      </c>
      <c r="F449">
        <v>2093</v>
      </c>
      <c r="G449" t="s">
        <v>1163</v>
      </c>
      <c r="H449" t="s">
        <v>1313</v>
      </c>
      <c r="I449" t="s">
        <v>1377</v>
      </c>
      <c r="K449" t="s">
        <v>1437</v>
      </c>
      <c r="L449">
        <v>3</v>
      </c>
      <c r="M449">
        <v>1</v>
      </c>
      <c r="N449">
        <v>0</v>
      </c>
      <c r="O449" t="s">
        <v>1440</v>
      </c>
      <c r="P449">
        <v>100000</v>
      </c>
      <c r="Q449">
        <v>11361</v>
      </c>
      <c r="R449" t="s">
        <v>1446</v>
      </c>
      <c r="S449" t="s">
        <v>1454</v>
      </c>
      <c r="U449" t="s">
        <v>1473</v>
      </c>
      <c r="V449" t="s">
        <v>1471</v>
      </c>
      <c r="AC449">
        <v>0</v>
      </c>
      <c r="AD449">
        <v>0</v>
      </c>
      <c r="AF449">
        <v>0</v>
      </c>
      <c r="AG449">
        <v>0</v>
      </c>
      <c r="AH449">
        <v>0</v>
      </c>
      <c r="AI449">
        <v>0</v>
      </c>
    </row>
    <row r="450" spans="1:35">
      <c r="A450" s="1">
        <f>HYPERLINK("https://lsnyc.legalserver.org/matter/dynamic-profile/view/1908940","19-1908940")</f>
        <v>0</v>
      </c>
      <c r="B450" t="s">
        <v>37</v>
      </c>
      <c r="C450" t="s">
        <v>42</v>
      </c>
      <c r="D450" t="s">
        <v>160</v>
      </c>
      <c r="E450" t="s">
        <v>670</v>
      </c>
      <c r="F450">
        <v>2091</v>
      </c>
      <c r="G450" t="s">
        <v>1006</v>
      </c>
      <c r="H450" t="s">
        <v>1321</v>
      </c>
      <c r="I450" t="s">
        <v>1345</v>
      </c>
      <c r="K450" t="s">
        <v>1437</v>
      </c>
      <c r="L450">
        <v>2</v>
      </c>
      <c r="M450">
        <v>0</v>
      </c>
      <c r="N450">
        <v>0</v>
      </c>
      <c r="P450">
        <v>62520</v>
      </c>
      <c r="Q450">
        <v>11229</v>
      </c>
      <c r="R450" t="s">
        <v>1447</v>
      </c>
      <c r="S450" t="s">
        <v>1460</v>
      </c>
      <c r="U450" t="s">
        <v>1475</v>
      </c>
      <c r="AC450">
        <v>0</v>
      </c>
      <c r="AD450">
        <v>0</v>
      </c>
      <c r="AF450">
        <v>0</v>
      </c>
      <c r="AG450">
        <v>0</v>
      </c>
      <c r="AH450">
        <v>0</v>
      </c>
      <c r="AI450">
        <v>0</v>
      </c>
    </row>
    <row r="451" spans="1:35">
      <c r="A451" s="1">
        <f>HYPERLINK("https://lsnyc.legalserver.org/matter/dynamic-profile/view/1909237","19-1909237")</f>
        <v>0</v>
      </c>
      <c r="B451" t="s">
        <v>36</v>
      </c>
      <c r="C451" t="s">
        <v>59</v>
      </c>
      <c r="D451" t="s">
        <v>427</v>
      </c>
      <c r="E451" t="s">
        <v>833</v>
      </c>
      <c r="F451">
        <v>2093</v>
      </c>
      <c r="G451" t="s">
        <v>1253</v>
      </c>
      <c r="H451" t="s">
        <v>1171</v>
      </c>
      <c r="K451" t="s">
        <v>1437</v>
      </c>
      <c r="L451">
        <v>2</v>
      </c>
      <c r="M451">
        <v>0</v>
      </c>
      <c r="N451">
        <v>0</v>
      </c>
      <c r="P451">
        <v>29724</v>
      </c>
      <c r="Q451">
        <v>11436</v>
      </c>
      <c r="R451" t="s">
        <v>1446</v>
      </c>
      <c r="S451" t="s">
        <v>1463</v>
      </c>
      <c r="U451" t="s">
        <v>1470</v>
      </c>
      <c r="Y451" t="s">
        <v>1498</v>
      </c>
      <c r="AC451">
        <v>0</v>
      </c>
      <c r="AD451">
        <v>0</v>
      </c>
      <c r="AF451">
        <v>0</v>
      </c>
      <c r="AG451">
        <v>0</v>
      </c>
      <c r="AH451">
        <v>0</v>
      </c>
      <c r="AI451">
        <v>0</v>
      </c>
    </row>
    <row r="452" spans="1:35">
      <c r="A452" s="1">
        <f>HYPERLINK("https://lsnyc.legalserver.org/matter/dynamic-profile/view/1909670","19-1909670")</f>
        <v>0</v>
      </c>
      <c r="B452" t="s">
        <v>36</v>
      </c>
      <c r="C452" t="s">
        <v>49</v>
      </c>
      <c r="D452" t="s">
        <v>399</v>
      </c>
      <c r="E452" t="s">
        <v>863</v>
      </c>
      <c r="F452">
        <v>2093</v>
      </c>
      <c r="G452" t="s">
        <v>1254</v>
      </c>
      <c r="H452" t="s">
        <v>1321</v>
      </c>
      <c r="K452" t="s">
        <v>1437</v>
      </c>
      <c r="L452">
        <v>1</v>
      </c>
      <c r="M452">
        <v>0</v>
      </c>
      <c r="N452">
        <v>0</v>
      </c>
      <c r="P452">
        <v>13740</v>
      </c>
      <c r="Q452">
        <v>11421</v>
      </c>
      <c r="R452" t="s">
        <v>1446</v>
      </c>
      <c r="AC452">
        <v>0</v>
      </c>
      <c r="AD452">
        <v>0</v>
      </c>
      <c r="AF452">
        <v>0</v>
      </c>
      <c r="AG452">
        <v>0</v>
      </c>
      <c r="AH452">
        <v>0</v>
      </c>
      <c r="AI452">
        <v>0</v>
      </c>
    </row>
    <row r="453" spans="1:35">
      <c r="A453" s="1">
        <f>HYPERLINK("https://lsnyc.legalserver.org/matter/dynamic-profile/view/1909830","19-1909830")</f>
        <v>0</v>
      </c>
      <c r="B453" t="s">
        <v>36</v>
      </c>
      <c r="C453" t="s">
        <v>40</v>
      </c>
      <c r="D453" t="s">
        <v>399</v>
      </c>
      <c r="E453" t="s">
        <v>864</v>
      </c>
      <c r="F453">
        <v>2093</v>
      </c>
      <c r="G453" t="s">
        <v>1255</v>
      </c>
      <c r="H453" t="s">
        <v>1176</v>
      </c>
      <c r="I453" t="s">
        <v>1342</v>
      </c>
      <c r="K453" t="s">
        <v>1437</v>
      </c>
      <c r="L453">
        <v>2</v>
      </c>
      <c r="M453">
        <v>0</v>
      </c>
      <c r="N453">
        <v>0</v>
      </c>
      <c r="O453" t="s">
        <v>1444</v>
      </c>
      <c r="P453">
        <v>186000</v>
      </c>
      <c r="Q453">
        <v>11368</v>
      </c>
      <c r="R453" t="s">
        <v>1446</v>
      </c>
      <c r="S453" t="s">
        <v>1464</v>
      </c>
      <c r="U453" t="s">
        <v>1470</v>
      </c>
      <c r="Y453" t="s">
        <v>1498</v>
      </c>
      <c r="AC453">
        <v>0</v>
      </c>
      <c r="AD453">
        <v>0</v>
      </c>
      <c r="AF453">
        <v>0</v>
      </c>
      <c r="AG453">
        <v>0</v>
      </c>
      <c r="AH453">
        <v>0</v>
      </c>
      <c r="AI453">
        <v>0</v>
      </c>
    </row>
    <row r="454" spans="1:35">
      <c r="A454" s="1">
        <f>HYPERLINK("https://lsnyc.legalserver.org/matter/dynamic-profile/view/1910246","19-1910246")</f>
        <v>0</v>
      </c>
      <c r="B454" t="s">
        <v>35</v>
      </c>
      <c r="C454" t="s">
        <v>39</v>
      </c>
      <c r="D454" t="s">
        <v>428</v>
      </c>
      <c r="E454" t="s">
        <v>865</v>
      </c>
      <c r="F454">
        <v>2094</v>
      </c>
      <c r="G454" t="s">
        <v>982</v>
      </c>
      <c r="H454" t="s">
        <v>1313</v>
      </c>
      <c r="I454" t="s">
        <v>1342</v>
      </c>
      <c r="K454" t="s">
        <v>1437</v>
      </c>
      <c r="L454">
        <v>3</v>
      </c>
      <c r="M454">
        <v>2</v>
      </c>
      <c r="N454">
        <v>0</v>
      </c>
      <c r="O454" t="s">
        <v>1440</v>
      </c>
      <c r="P454">
        <v>45760</v>
      </c>
      <c r="Q454">
        <v>10466</v>
      </c>
      <c r="R454" t="s">
        <v>1445</v>
      </c>
      <c r="S454" t="s">
        <v>1455</v>
      </c>
      <c r="U454" t="s">
        <v>1470</v>
      </c>
      <c r="Y454" t="s">
        <v>1498</v>
      </c>
      <c r="AC454">
        <v>0</v>
      </c>
      <c r="AD454">
        <v>0</v>
      </c>
      <c r="AF454">
        <v>0</v>
      </c>
      <c r="AG454">
        <v>0</v>
      </c>
      <c r="AH454">
        <v>0</v>
      </c>
      <c r="AI454">
        <v>0</v>
      </c>
    </row>
    <row r="455" spans="1:35">
      <c r="A455" s="1">
        <f>HYPERLINK("https://lsnyc.legalserver.org/matter/dynamic-profile/view/1910605","19-1910605")</f>
        <v>0</v>
      </c>
      <c r="B455" t="s">
        <v>35</v>
      </c>
      <c r="C455" t="s">
        <v>46</v>
      </c>
      <c r="D455" t="s">
        <v>429</v>
      </c>
      <c r="E455" t="s">
        <v>866</v>
      </c>
      <c r="F455">
        <v>2094</v>
      </c>
      <c r="G455" t="s">
        <v>1256</v>
      </c>
      <c r="H455" t="s">
        <v>1313</v>
      </c>
      <c r="I455" t="s">
        <v>1423</v>
      </c>
      <c r="K455" t="s">
        <v>1437</v>
      </c>
      <c r="L455">
        <v>5</v>
      </c>
      <c r="M455">
        <v>3</v>
      </c>
      <c r="N455">
        <v>0</v>
      </c>
      <c r="O455" t="s">
        <v>1440</v>
      </c>
      <c r="P455">
        <v>56200</v>
      </c>
      <c r="Q455">
        <v>10468</v>
      </c>
      <c r="R455" t="s">
        <v>1445</v>
      </c>
      <c r="S455" t="s">
        <v>1454</v>
      </c>
      <c r="T455" t="s">
        <v>1458</v>
      </c>
      <c r="U455" t="s">
        <v>1472</v>
      </c>
      <c r="Y455" t="s">
        <v>1502</v>
      </c>
      <c r="AC455">
        <v>0</v>
      </c>
      <c r="AD455">
        <v>0</v>
      </c>
      <c r="AF455">
        <v>0</v>
      </c>
      <c r="AG455">
        <v>0</v>
      </c>
      <c r="AH455">
        <v>0</v>
      </c>
      <c r="AI455">
        <v>0</v>
      </c>
    </row>
    <row r="456" spans="1:35">
      <c r="A456" s="1">
        <f>HYPERLINK("https://lsnyc.legalserver.org/matter/dynamic-profile/view/1911117","19-1911117")</f>
        <v>0</v>
      </c>
      <c r="B456" t="s">
        <v>35</v>
      </c>
      <c r="C456" t="s">
        <v>39</v>
      </c>
      <c r="D456" t="s">
        <v>430</v>
      </c>
      <c r="E456" t="s">
        <v>867</v>
      </c>
      <c r="F456">
        <v>2094</v>
      </c>
      <c r="G456" t="s">
        <v>1167</v>
      </c>
      <c r="H456" t="s">
        <v>1186</v>
      </c>
      <c r="I456" t="s">
        <v>1405</v>
      </c>
      <c r="K456" t="s">
        <v>1437</v>
      </c>
      <c r="L456">
        <v>2</v>
      </c>
      <c r="M456">
        <v>1</v>
      </c>
      <c r="N456">
        <v>1</v>
      </c>
      <c r="O456" t="s">
        <v>1441</v>
      </c>
      <c r="P456">
        <v>32172</v>
      </c>
      <c r="Q456">
        <v>10473</v>
      </c>
      <c r="R456" t="s">
        <v>1445</v>
      </c>
      <c r="S456" t="s">
        <v>1453</v>
      </c>
      <c r="T456" t="s">
        <v>1452</v>
      </c>
      <c r="U456" t="s">
        <v>1475</v>
      </c>
      <c r="Y456" t="s">
        <v>1498</v>
      </c>
      <c r="AC456">
        <v>0</v>
      </c>
      <c r="AD456">
        <v>0</v>
      </c>
      <c r="AF456">
        <v>0</v>
      </c>
      <c r="AG456">
        <v>0</v>
      </c>
      <c r="AH456">
        <v>0</v>
      </c>
      <c r="AI456">
        <v>0</v>
      </c>
    </row>
    <row r="457" spans="1:35">
      <c r="A457" s="1">
        <f>HYPERLINK("https://lsnyc.legalserver.org/matter/dynamic-profile/view/1911148","19-1911148")</f>
        <v>0</v>
      </c>
      <c r="B457" t="s">
        <v>35</v>
      </c>
      <c r="C457" t="s">
        <v>39</v>
      </c>
      <c r="D457" t="s">
        <v>431</v>
      </c>
      <c r="E457" t="s">
        <v>868</v>
      </c>
      <c r="F457">
        <v>2094</v>
      </c>
      <c r="G457" t="s">
        <v>1167</v>
      </c>
      <c r="H457" t="s">
        <v>1259</v>
      </c>
      <c r="K457" t="s">
        <v>1437</v>
      </c>
      <c r="L457">
        <v>3</v>
      </c>
      <c r="M457">
        <v>1</v>
      </c>
      <c r="N457">
        <v>0</v>
      </c>
      <c r="O457" t="s">
        <v>1441</v>
      </c>
      <c r="P457">
        <v>177600</v>
      </c>
      <c r="Q457">
        <v>10473</v>
      </c>
      <c r="R457" t="s">
        <v>1445</v>
      </c>
      <c r="S457" t="s">
        <v>1454</v>
      </c>
      <c r="U457" t="s">
        <v>1470</v>
      </c>
      <c r="V457" t="s">
        <v>1472</v>
      </c>
      <c r="Y457" t="s">
        <v>1498</v>
      </c>
      <c r="AC457">
        <v>0</v>
      </c>
      <c r="AD457">
        <v>0</v>
      </c>
      <c r="AF457">
        <v>0</v>
      </c>
      <c r="AG457">
        <v>0</v>
      </c>
      <c r="AH457">
        <v>0</v>
      </c>
      <c r="AI457">
        <v>0</v>
      </c>
    </row>
    <row r="458" spans="1:35">
      <c r="A458" s="1">
        <f>HYPERLINK("https://lsnyc.legalserver.org/matter/dynamic-profile/view/1911094","19-1911094")</f>
        <v>0</v>
      </c>
      <c r="B458" t="s">
        <v>38</v>
      </c>
      <c r="C458" t="s">
        <v>53</v>
      </c>
      <c r="D458" t="s">
        <v>432</v>
      </c>
      <c r="E458" t="s">
        <v>869</v>
      </c>
      <c r="F458">
        <v>2090</v>
      </c>
      <c r="G458" t="s">
        <v>1038</v>
      </c>
      <c r="H458" t="s">
        <v>1188</v>
      </c>
      <c r="I458" t="s">
        <v>1362</v>
      </c>
      <c r="K458" t="s">
        <v>1437</v>
      </c>
      <c r="L458">
        <v>2</v>
      </c>
      <c r="M458">
        <v>0</v>
      </c>
      <c r="N458">
        <v>0</v>
      </c>
      <c r="P458">
        <v>68256</v>
      </c>
      <c r="Q458">
        <v>10305</v>
      </c>
      <c r="R458" t="s">
        <v>1448</v>
      </c>
      <c r="S458" t="s">
        <v>1460</v>
      </c>
      <c r="U458" t="s">
        <v>1474</v>
      </c>
      <c r="AC458">
        <v>0</v>
      </c>
      <c r="AD458">
        <v>0</v>
      </c>
      <c r="AF458">
        <v>0</v>
      </c>
      <c r="AG458">
        <v>0</v>
      </c>
      <c r="AH458">
        <v>0</v>
      </c>
      <c r="AI458">
        <v>0</v>
      </c>
    </row>
    <row r="459" spans="1:35">
      <c r="A459" s="1">
        <f>HYPERLINK("https://lsnyc.legalserver.org/matter/dynamic-profile/view/1911235","19-1911235")</f>
        <v>0</v>
      </c>
      <c r="B459" t="s">
        <v>36</v>
      </c>
      <c r="C459" t="s">
        <v>52</v>
      </c>
      <c r="D459" t="s">
        <v>433</v>
      </c>
      <c r="E459" t="s">
        <v>510</v>
      </c>
      <c r="F459">
        <v>2093</v>
      </c>
      <c r="G459" t="s">
        <v>1038</v>
      </c>
      <c r="H459" t="s">
        <v>1317</v>
      </c>
      <c r="K459" t="s">
        <v>1437</v>
      </c>
      <c r="L459">
        <v>2</v>
      </c>
      <c r="M459">
        <v>0</v>
      </c>
      <c r="N459">
        <v>0</v>
      </c>
      <c r="P459">
        <v>96400</v>
      </c>
      <c r="Q459">
        <v>11433</v>
      </c>
      <c r="R459" t="s">
        <v>1446</v>
      </c>
      <c r="S459" t="s">
        <v>1454</v>
      </c>
      <c r="U459" t="s">
        <v>1472</v>
      </c>
      <c r="AC459">
        <v>0</v>
      </c>
      <c r="AD459">
        <v>0</v>
      </c>
      <c r="AF459">
        <v>0</v>
      </c>
      <c r="AG459">
        <v>0</v>
      </c>
      <c r="AH459">
        <v>0</v>
      </c>
      <c r="AI459">
        <v>0</v>
      </c>
    </row>
    <row r="460" spans="1:35">
      <c r="A460" s="1">
        <f>HYPERLINK("https://lsnyc.legalserver.org/matter/dynamic-profile/view/1911316","19-1911316")</f>
        <v>0</v>
      </c>
      <c r="B460" t="s">
        <v>36</v>
      </c>
      <c r="C460" t="s">
        <v>51</v>
      </c>
      <c r="D460" t="s">
        <v>356</v>
      </c>
      <c r="E460" t="s">
        <v>870</v>
      </c>
      <c r="F460">
        <v>2093</v>
      </c>
      <c r="G460" t="s">
        <v>1038</v>
      </c>
      <c r="H460" t="s">
        <v>1176</v>
      </c>
      <c r="I460" t="s">
        <v>1400</v>
      </c>
      <c r="K460" t="s">
        <v>1437</v>
      </c>
      <c r="L460">
        <v>4</v>
      </c>
      <c r="M460">
        <v>0</v>
      </c>
      <c r="N460">
        <v>0</v>
      </c>
      <c r="O460" t="s">
        <v>1440</v>
      </c>
      <c r="P460">
        <v>0</v>
      </c>
      <c r="Q460">
        <v>11414</v>
      </c>
      <c r="R460" t="s">
        <v>1446</v>
      </c>
      <c r="S460" t="s">
        <v>1455</v>
      </c>
      <c r="U460" t="s">
        <v>1472</v>
      </c>
      <c r="AC460">
        <v>0</v>
      </c>
      <c r="AD460">
        <v>0</v>
      </c>
      <c r="AF460">
        <v>0</v>
      </c>
      <c r="AG460">
        <v>0</v>
      </c>
      <c r="AH460">
        <v>0</v>
      </c>
      <c r="AI460">
        <v>0</v>
      </c>
    </row>
    <row r="461" spans="1:35">
      <c r="A461" s="1">
        <f>HYPERLINK("https://lsnyc.legalserver.org/matter/dynamic-profile/view/1911312","19-1911312")</f>
        <v>0</v>
      </c>
      <c r="B461" t="s">
        <v>38</v>
      </c>
      <c r="C461" t="s">
        <v>63</v>
      </c>
      <c r="D461" t="s">
        <v>160</v>
      </c>
      <c r="E461" t="s">
        <v>871</v>
      </c>
      <c r="F461">
        <v>2090</v>
      </c>
      <c r="G461" t="s">
        <v>983</v>
      </c>
      <c r="H461" t="s">
        <v>1188</v>
      </c>
      <c r="K461" t="s">
        <v>1437</v>
      </c>
      <c r="L461">
        <v>3</v>
      </c>
      <c r="M461">
        <v>0</v>
      </c>
      <c r="N461">
        <v>0</v>
      </c>
      <c r="P461">
        <v>45432</v>
      </c>
      <c r="Q461">
        <v>10304</v>
      </c>
      <c r="R461" t="s">
        <v>1448</v>
      </c>
      <c r="S461" t="s">
        <v>1452</v>
      </c>
      <c r="T461" t="s">
        <v>1454</v>
      </c>
      <c r="U461" t="s">
        <v>1472</v>
      </c>
      <c r="Y461" t="s">
        <v>1502</v>
      </c>
      <c r="AA461" t="s">
        <v>1498</v>
      </c>
      <c r="AC461">
        <v>0</v>
      </c>
      <c r="AD461">
        <v>0</v>
      </c>
      <c r="AF461">
        <v>0</v>
      </c>
      <c r="AG461">
        <v>0</v>
      </c>
      <c r="AH461">
        <v>0</v>
      </c>
      <c r="AI461">
        <v>0</v>
      </c>
    </row>
    <row r="462" spans="1:35">
      <c r="A462" s="1">
        <f>HYPERLINK("https://lsnyc.legalserver.org/matter/dynamic-profile/view/1908643","19-1908643")</f>
        <v>0</v>
      </c>
      <c r="B462" t="s">
        <v>37</v>
      </c>
      <c r="C462" t="s">
        <v>50</v>
      </c>
      <c r="D462" t="s">
        <v>434</v>
      </c>
      <c r="E462" t="s">
        <v>872</v>
      </c>
      <c r="F462">
        <v>2091</v>
      </c>
      <c r="G462" t="s">
        <v>1168</v>
      </c>
      <c r="H462" t="s">
        <v>1317</v>
      </c>
      <c r="I462" t="s">
        <v>1375</v>
      </c>
      <c r="K462" t="s">
        <v>1437</v>
      </c>
      <c r="L462">
        <v>3</v>
      </c>
      <c r="M462">
        <v>0</v>
      </c>
      <c r="N462">
        <v>0</v>
      </c>
      <c r="O462" t="s">
        <v>1440</v>
      </c>
      <c r="P462">
        <v>60000</v>
      </c>
      <c r="Q462">
        <v>11234</v>
      </c>
      <c r="R462" t="s">
        <v>1447</v>
      </c>
      <c r="S462" t="s">
        <v>1452</v>
      </c>
      <c r="U462" t="s">
        <v>1475</v>
      </c>
      <c r="V462" t="s">
        <v>1472</v>
      </c>
      <c r="W462" t="s">
        <v>1491</v>
      </c>
      <c r="Y462" t="s">
        <v>1509</v>
      </c>
      <c r="AA462" t="s">
        <v>1498</v>
      </c>
      <c r="AC462">
        <v>0</v>
      </c>
      <c r="AD462">
        <v>0</v>
      </c>
      <c r="AF462">
        <v>0</v>
      </c>
      <c r="AG462">
        <v>0</v>
      </c>
      <c r="AH462">
        <v>0</v>
      </c>
      <c r="AI462">
        <v>0</v>
      </c>
    </row>
    <row r="463" spans="1:35">
      <c r="A463" s="1">
        <f>HYPERLINK("https://lsnyc.legalserver.org/matter/dynamic-profile/view/1911173","19-1911173")</f>
        <v>0</v>
      </c>
      <c r="B463" t="s">
        <v>37</v>
      </c>
      <c r="C463" t="s">
        <v>50</v>
      </c>
      <c r="D463" t="s">
        <v>435</v>
      </c>
      <c r="E463" t="s">
        <v>873</v>
      </c>
      <c r="F463">
        <v>2091</v>
      </c>
      <c r="G463" t="s">
        <v>984</v>
      </c>
      <c r="H463" t="s">
        <v>1313</v>
      </c>
      <c r="I463" t="s">
        <v>1380</v>
      </c>
      <c r="K463" t="s">
        <v>1437</v>
      </c>
      <c r="L463">
        <v>3</v>
      </c>
      <c r="M463">
        <v>3</v>
      </c>
      <c r="N463">
        <v>0</v>
      </c>
      <c r="O463" t="s">
        <v>1441</v>
      </c>
      <c r="P463">
        <v>54000</v>
      </c>
      <c r="Q463">
        <v>11223</v>
      </c>
      <c r="R463" t="s">
        <v>1447</v>
      </c>
      <c r="S463" t="s">
        <v>1466</v>
      </c>
      <c r="T463" t="s">
        <v>1465</v>
      </c>
      <c r="U463" t="s">
        <v>1475</v>
      </c>
      <c r="AC463">
        <v>0</v>
      </c>
      <c r="AD463">
        <v>0</v>
      </c>
      <c r="AF463">
        <v>0</v>
      </c>
      <c r="AG463">
        <v>0</v>
      </c>
      <c r="AH463">
        <v>0</v>
      </c>
      <c r="AI463">
        <v>0</v>
      </c>
    </row>
    <row r="464" spans="1:35">
      <c r="A464" s="1">
        <f>HYPERLINK("https://lsnyc.legalserver.org/matter/dynamic-profile/view/1911579","19-1911579")</f>
        <v>0</v>
      </c>
      <c r="B464" t="s">
        <v>36</v>
      </c>
      <c r="C464" t="s">
        <v>49</v>
      </c>
      <c r="D464" t="s">
        <v>125</v>
      </c>
      <c r="E464" t="s">
        <v>780</v>
      </c>
      <c r="F464">
        <v>2093</v>
      </c>
      <c r="G464" t="s">
        <v>984</v>
      </c>
      <c r="H464" t="s">
        <v>1308</v>
      </c>
      <c r="K464" t="s">
        <v>1437</v>
      </c>
      <c r="L464">
        <v>1</v>
      </c>
      <c r="M464">
        <v>0</v>
      </c>
      <c r="N464">
        <v>0</v>
      </c>
      <c r="P464">
        <v>1500</v>
      </c>
      <c r="Q464">
        <v>11369</v>
      </c>
      <c r="R464" t="s">
        <v>1446</v>
      </c>
      <c r="S464" t="s">
        <v>1454</v>
      </c>
      <c r="U464" t="s">
        <v>1470</v>
      </c>
      <c r="AC464">
        <v>0</v>
      </c>
      <c r="AD464">
        <v>0</v>
      </c>
      <c r="AF464">
        <v>0</v>
      </c>
      <c r="AG464">
        <v>0</v>
      </c>
      <c r="AH464">
        <v>0</v>
      </c>
      <c r="AI464">
        <v>0</v>
      </c>
    </row>
    <row r="465" spans="1:35">
      <c r="A465" s="1">
        <f>HYPERLINK("https://lsnyc.legalserver.org/matter/dynamic-profile/view/1912035","19-1912035")</f>
        <v>0</v>
      </c>
      <c r="B465" t="s">
        <v>38</v>
      </c>
      <c r="C465" t="s">
        <v>44</v>
      </c>
      <c r="D465" t="s">
        <v>399</v>
      </c>
      <c r="E465" t="s">
        <v>825</v>
      </c>
      <c r="F465">
        <v>2090</v>
      </c>
      <c r="G465" t="s">
        <v>1172</v>
      </c>
      <c r="H465" t="s">
        <v>1188</v>
      </c>
      <c r="K465" t="s">
        <v>1437</v>
      </c>
      <c r="L465">
        <v>1</v>
      </c>
      <c r="M465">
        <v>0</v>
      </c>
      <c r="N465">
        <v>0</v>
      </c>
      <c r="P465">
        <v>15000</v>
      </c>
      <c r="Q465">
        <v>10314</v>
      </c>
      <c r="R465" t="s">
        <v>1448</v>
      </c>
      <c r="U465" t="s">
        <v>1475</v>
      </c>
      <c r="AC465">
        <v>0</v>
      </c>
      <c r="AD465">
        <v>0</v>
      </c>
      <c r="AF465">
        <v>0</v>
      </c>
      <c r="AG465">
        <v>0</v>
      </c>
      <c r="AH465">
        <v>0</v>
      </c>
      <c r="AI465">
        <v>0</v>
      </c>
    </row>
    <row r="466" spans="1:35">
      <c r="A466" s="1">
        <f>HYPERLINK("https://lsnyc.legalserver.org/matter/dynamic-profile/view/1908020","19-1908020")</f>
        <v>0</v>
      </c>
      <c r="B466" t="s">
        <v>37</v>
      </c>
      <c r="C466" t="s">
        <v>50</v>
      </c>
      <c r="D466" t="s">
        <v>436</v>
      </c>
      <c r="E466" t="s">
        <v>874</v>
      </c>
      <c r="F466">
        <v>2091</v>
      </c>
      <c r="G466" t="s">
        <v>985</v>
      </c>
      <c r="H466" t="s">
        <v>1317</v>
      </c>
      <c r="I466" t="s">
        <v>774</v>
      </c>
      <c r="K466" t="s">
        <v>1437</v>
      </c>
      <c r="L466">
        <v>1</v>
      </c>
      <c r="M466">
        <v>0</v>
      </c>
      <c r="N466">
        <v>1</v>
      </c>
      <c r="O466" t="s">
        <v>1439</v>
      </c>
      <c r="P466">
        <v>33800</v>
      </c>
      <c r="Q466">
        <v>11226</v>
      </c>
      <c r="R466" t="s">
        <v>1447</v>
      </c>
      <c r="S466" t="s">
        <v>1453</v>
      </c>
      <c r="T466" t="s">
        <v>1464</v>
      </c>
      <c r="U466" t="s">
        <v>1475</v>
      </c>
      <c r="AC466">
        <v>0</v>
      </c>
      <c r="AD466">
        <v>0</v>
      </c>
      <c r="AF466">
        <v>0</v>
      </c>
      <c r="AG466">
        <v>0</v>
      </c>
      <c r="AH466">
        <v>0</v>
      </c>
      <c r="AI466">
        <v>0</v>
      </c>
    </row>
    <row r="467" spans="1:35">
      <c r="A467" s="1">
        <f>HYPERLINK("https://lsnyc.legalserver.org/matter/dynamic-profile/view/1912171","19-1912171")</f>
        <v>0</v>
      </c>
      <c r="B467" t="s">
        <v>35</v>
      </c>
      <c r="C467" t="s">
        <v>46</v>
      </c>
      <c r="D467" t="s">
        <v>341</v>
      </c>
      <c r="E467" t="s">
        <v>875</v>
      </c>
      <c r="F467">
        <v>2094</v>
      </c>
      <c r="G467" t="s">
        <v>985</v>
      </c>
      <c r="H467" t="s">
        <v>1313</v>
      </c>
      <c r="I467" t="s">
        <v>1344</v>
      </c>
      <c r="J467" t="s">
        <v>1362</v>
      </c>
      <c r="K467" t="s">
        <v>1437</v>
      </c>
      <c r="L467">
        <v>1</v>
      </c>
      <c r="M467">
        <v>0</v>
      </c>
      <c r="N467">
        <v>0</v>
      </c>
      <c r="O467" t="s">
        <v>1439</v>
      </c>
      <c r="P467">
        <v>50000</v>
      </c>
      <c r="Q467">
        <v>10459</v>
      </c>
      <c r="R467" t="s">
        <v>1445</v>
      </c>
      <c r="S467" t="s">
        <v>1453</v>
      </c>
      <c r="U467" t="s">
        <v>1472</v>
      </c>
      <c r="V467" t="s">
        <v>1471</v>
      </c>
      <c r="Y467" t="s">
        <v>1515</v>
      </c>
      <c r="AC467">
        <v>0</v>
      </c>
      <c r="AD467">
        <v>0</v>
      </c>
      <c r="AF467">
        <v>0</v>
      </c>
      <c r="AG467">
        <v>0</v>
      </c>
      <c r="AH467">
        <v>0</v>
      </c>
      <c r="AI467">
        <v>0</v>
      </c>
    </row>
    <row r="468" spans="1:35">
      <c r="A468" s="1">
        <f>HYPERLINK("https://lsnyc.legalserver.org/matter/dynamic-profile/view/1912313","19-1912313")</f>
        <v>0</v>
      </c>
      <c r="B468" t="s">
        <v>38</v>
      </c>
      <c r="C468" t="s">
        <v>63</v>
      </c>
      <c r="D468" t="s">
        <v>437</v>
      </c>
      <c r="E468" t="s">
        <v>876</v>
      </c>
      <c r="F468">
        <v>2090</v>
      </c>
      <c r="G468" t="s">
        <v>1014</v>
      </c>
      <c r="H468" t="s">
        <v>1188</v>
      </c>
      <c r="I468" t="s">
        <v>1380</v>
      </c>
      <c r="J468" t="s">
        <v>1380</v>
      </c>
      <c r="K468" t="s">
        <v>1437</v>
      </c>
      <c r="L468">
        <v>2</v>
      </c>
      <c r="M468">
        <v>2</v>
      </c>
      <c r="N468">
        <v>0</v>
      </c>
      <c r="P468">
        <v>36000</v>
      </c>
      <c r="Q468">
        <v>10307</v>
      </c>
      <c r="R468" t="s">
        <v>1448</v>
      </c>
      <c r="S468" t="s">
        <v>1452</v>
      </c>
      <c r="U468" t="s">
        <v>1470</v>
      </c>
      <c r="Y468" t="s">
        <v>1498</v>
      </c>
      <c r="AC468">
        <v>0</v>
      </c>
      <c r="AD468">
        <v>0</v>
      </c>
      <c r="AF468">
        <v>0</v>
      </c>
      <c r="AG468">
        <v>0</v>
      </c>
      <c r="AH468">
        <v>0</v>
      </c>
      <c r="AI468">
        <v>0</v>
      </c>
    </row>
    <row r="469" spans="1:35">
      <c r="A469" s="1">
        <f>HYPERLINK("https://lsnyc.legalserver.org/matter/dynamic-profile/view/1912807","19-1912807")</f>
        <v>0</v>
      </c>
      <c r="B469" t="s">
        <v>35</v>
      </c>
      <c r="C469" t="s">
        <v>39</v>
      </c>
      <c r="D469" t="s">
        <v>438</v>
      </c>
      <c r="E469" t="s">
        <v>877</v>
      </c>
      <c r="F469">
        <v>2094</v>
      </c>
      <c r="G469" t="s">
        <v>1257</v>
      </c>
      <c r="H469" t="s">
        <v>1188</v>
      </c>
      <c r="I469" t="s">
        <v>1329</v>
      </c>
      <c r="J469" t="s">
        <v>1329</v>
      </c>
      <c r="K469" t="s">
        <v>1437</v>
      </c>
      <c r="L469">
        <v>2</v>
      </c>
      <c r="M469">
        <v>0</v>
      </c>
      <c r="N469">
        <v>1</v>
      </c>
      <c r="O469" t="s">
        <v>1439</v>
      </c>
      <c r="P469">
        <v>26700</v>
      </c>
      <c r="Q469">
        <v>10462</v>
      </c>
      <c r="R469" t="s">
        <v>1445</v>
      </c>
      <c r="S469" t="s">
        <v>1452</v>
      </c>
      <c r="U469" t="s">
        <v>1472</v>
      </c>
      <c r="V469" t="s">
        <v>1470</v>
      </c>
      <c r="Y469" t="s">
        <v>1498</v>
      </c>
      <c r="AA469" t="s">
        <v>1517</v>
      </c>
      <c r="AC469">
        <v>0</v>
      </c>
      <c r="AD469">
        <v>0</v>
      </c>
      <c r="AF469">
        <v>0</v>
      </c>
      <c r="AG469">
        <v>0</v>
      </c>
      <c r="AH469">
        <v>0</v>
      </c>
      <c r="AI469">
        <v>0</v>
      </c>
    </row>
    <row r="470" spans="1:35">
      <c r="A470" s="1">
        <f>HYPERLINK("https://lsnyc.legalserver.org/matter/dynamic-profile/view/1912879","19-1912879")</f>
        <v>0</v>
      </c>
      <c r="B470" t="s">
        <v>35</v>
      </c>
      <c r="C470" t="s">
        <v>39</v>
      </c>
      <c r="D470" t="s">
        <v>439</v>
      </c>
      <c r="E470" t="s">
        <v>878</v>
      </c>
      <c r="F470">
        <v>2094</v>
      </c>
      <c r="G470" t="s">
        <v>1257</v>
      </c>
      <c r="H470" t="s">
        <v>1322</v>
      </c>
      <c r="I470" t="s">
        <v>1348</v>
      </c>
      <c r="J470" t="s">
        <v>1351</v>
      </c>
      <c r="K470" t="s">
        <v>1437</v>
      </c>
      <c r="L470">
        <v>2</v>
      </c>
      <c r="M470">
        <v>0</v>
      </c>
      <c r="N470">
        <v>0</v>
      </c>
      <c r="O470" t="s">
        <v>1440</v>
      </c>
      <c r="P470">
        <v>49440</v>
      </c>
      <c r="Q470">
        <v>10473</v>
      </c>
      <c r="R470" t="s">
        <v>1445</v>
      </c>
      <c r="S470" t="s">
        <v>1452</v>
      </c>
      <c r="U470" t="s">
        <v>1470</v>
      </c>
      <c r="Y470" t="s">
        <v>1498</v>
      </c>
      <c r="AC470">
        <v>0</v>
      </c>
      <c r="AD470">
        <v>0</v>
      </c>
      <c r="AF470">
        <v>0</v>
      </c>
      <c r="AG470">
        <v>0</v>
      </c>
      <c r="AH470">
        <v>0</v>
      </c>
      <c r="AI470">
        <v>0</v>
      </c>
    </row>
    <row r="471" spans="1:35">
      <c r="A471" s="1">
        <f>HYPERLINK("https://lsnyc.legalserver.org/matter/dynamic-profile/view/1913216","19-1913216")</f>
        <v>0</v>
      </c>
      <c r="B471" t="s">
        <v>36</v>
      </c>
      <c r="C471" t="s">
        <v>47</v>
      </c>
      <c r="D471" t="s">
        <v>440</v>
      </c>
      <c r="E471" t="s">
        <v>879</v>
      </c>
      <c r="F471">
        <v>2093</v>
      </c>
      <c r="G471" t="s">
        <v>1174</v>
      </c>
      <c r="H471" t="s">
        <v>1318</v>
      </c>
      <c r="I471" t="s">
        <v>1330</v>
      </c>
      <c r="K471" t="s">
        <v>1437</v>
      </c>
      <c r="L471">
        <v>2</v>
      </c>
      <c r="M471">
        <v>2</v>
      </c>
      <c r="N471">
        <v>0</v>
      </c>
      <c r="O471" t="s">
        <v>1440</v>
      </c>
      <c r="P471">
        <v>66000</v>
      </c>
      <c r="Q471">
        <v>11434</v>
      </c>
      <c r="R471" t="s">
        <v>1446</v>
      </c>
      <c r="S471" t="s">
        <v>1455</v>
      </c>
      <c r="AC471">
        <v>0</v>
      </c>
      <c r="AD471">
        <v>0</v>
      </c>
      <c r="AF471">
        <v>0</v>
      </c>
      <c r="AG471">
        <v>0</v>
      </c>
      <c r="AH471">
        <v>0</v>
      </c>
      <c r="AI471">
        <v>0</v>
      </c>
    </row>
    <row r="472" spans="1:35">
      <c r="A472" s="1">
        <f>HYPERLINK("https://lsnyc.legalserver.org/matter/dynamic-profile/view/1913541","19-1913541")</f>
        <v>0</v>
      </c>
      <c r="B472" t="s">
        <v>35</v>
      </c>
      <c r="C472" t="s">
        <v>46</v>
      </c>
      <c r="D472" t="s">
        <v>422</v>
      </c>
      <c r="E472" t="s">
        <v>860</v>
      </c>
      <c r="F472">
        <v>2094</v>
      </c>
      <c r="G472" t="s">
        <v>1175</v>
      </c>
      <c r="H472" t="s">
        <v>1186</v>
      </c>
      <c r="K472" t="s">
        <v>1437</v>
      </c>
      <c r="L472">
        <v>1</v>
      </c>
      <c r="M472">
        <v>0</v>
      </c>
      <c r="N472">
        <v>0</v>
      </c>
      <c r="P472">
        <v>33096</v>
      </c>
      <c r="Q472">
        <v>10469</v>
      </c>
      <c r="R472" t="s">
        <v>1445</v>
      </c>
      <c r="U472" t="s">
        <v>1472</v>
      </c>
      <c r="AC472">
        <v>0</v>
      </c>
      <c r="AD472">
        <v>0</v>
      </c>
      <c r="AF472">
        <v>0</v>
      </c>
      <c r="AG472">
        <v>0</v>
      </c>
      <c r="AH472">
        <v>0</v>
      </c>
      <c r="AI472">
        <v>0</v>
      </c>
    </row>
    <row r="473" spans="1:35">
      <c r="A473" s="1">
        <f>HYPERLINK("https://lsnyc.legalserver.org/matter/dynamic-profile/view/1913568","19-1913568")</f>
        <v>0</v>
      </c>
      <c r="B473" t="s">
        <v>38</v>
      </c>
      <c r="C473" t="s">
        <v>63</v>
      </c>
      <c r="D473" t="s">
        <v>441</v>
      </c>
      <c r="E473" t="s">
        <v>768</v>
      </c>
      <c r="F473">
        <v>2090</v>
      </c>
      <c r="G473" t="s">
        <v>1175</v>
      </c>
      <c r="H473" t="s">
        <v>1322</v>
      </c>
      <c r="K473" t="s">
        <v>1437</v>
      </c>
      <c r="L473">
        <v>3</v>
      </c>
      <c r="M473">
        <v>0</v>
      </c>
      <c r="N473">
        <v>0</v>
      </c>
      <c r="P473">
        <v>74000</v>
      </c>
      <c r="Q473">
        <v>10307</v>
      </c>
      <c r="R473" t="s">
        <v>1448</v>
      </c>
      <c r="AC473">
        <v>0</v>
      </c>
      <c r="AD473">
        <v>0</v>
      </c>
      <c r="AF473">
        <v>0</v>
      </c>
      <c r="AG473">
        <v>0</v>
      </c>
      <c r="AH473">
        <v>0</v>
      </c>
      <c r="AI473">
        <v>0</v>
      </c>
    </row>
    <row r="474" spans="1:35">
      <c r="A474" s="1">
        <f>HYPERLINK("https://lsnyc.legalserver.org/matter/dynamic-profile/view/1913836","19-1913836")</f>
        <v>0</v>
      </c>
      <c r="B474" t="s">
        <v>38</v>
      </c>
      <c r="C474" t="s">
        <v>53</v>
      </c>
      <c r="D474" t="s">
        <v>442</v>
      </c>
      <c r="E474" t="s">
        <v>880</v>
      </c>
      <c r="F474">
        <v>2090</v>
      </c>
      <c r="G474" t="s">
        <v>1176</v>
      </c>
      <c r="H474" t="s">
        <v>1315</v>
      </c>
      <c r="K474" t="s">
        <v>1437</v>
      </c>
      <c r="L474">
        <v>3</v>
      </c>
      <c r="M474">
        <v>0</v>
      </c>
      <c r="N474">
        <v>0</v>
      </c>
      <c r="P474">
        <v>25080</v>
      </c>
      <c r="Q474">
        <v>10303</v>
      </c>
      <c r="R474" t="s">
        <v>1448</v>
      </c>
      <c r="AC474">
        <v>0</v>
      </c>
      <c r="AD474">
        <v>0</v>
      </c>
      <c r="AF474">
        <v>0</v>
      </c>
      <c r="AG474">
        <v>0</v>
      </c>
      <c r="AH474">
        <v>0</v>
      </c>
      <c r="AI474">
        <v>0</v>
      </c>
    </row>
    <row r="475" spans="1:35">
      <c r="A475" s="1">
        <f>HYPERLINK("https://lsnyc.legalserver.org/matter/dynamic-profile/view/1914057","19-1914057")</f>
        <v>0</v>
      </c>
      <c r="B475" t="s">
        <v>36</v>
      </c>
      <c r="C475" t="s">
        <v>40</v>
      </c>
      <c r="D475" t="s">
        <v>443</v>
      </c>
      <c r="E475" t="s">
        <v>510</v>
      </c>
      <c r="F475">
        <v>2093</v>
      </c>
      <c r="G475" t="s">
        <v>988</v>
      </c>
      <c r="H475" t="s">
        <v>1315</v>
      </c>
      <c r="K475" t="s">
        <v>1437</v>
      </c>
      <c r="L475">
        <v>3</v>
      </c>
      <c r="M475">
        <v>2</v>
      </c>
      <c r="N475">
        <v>0</v>
      </c>
      <c r="P475">
        <v>41600</v>
      </c>
      <c r="Q475">
        <v>11435</v>
      </c>
      <c r="R475" t="s">
        <v>1446</v>
      </c>
      <c r="U475" t="s">
        <v>1470</v>
      </c>
      <c r="AC475">
        <v>0</v>
      </c>
      <c r="AD475">
        <v>0</v>
      </c>
      <c r="AF475">
        <v>0</v>
      </c>
      <c r="AG475">
        <v>0</v>
      </c>
      <c r="AH475">
        <v>0</v>
      </c>
      <c r="AI475">
        <v>0</v>
      </c>
    </row>
    <row r="476" spans="1:35">
      <c r="A476" s="1">
        <f>HYPERLINK("https://lsnyc.legalserver.org/matter/dynamic-profile/view/1914345","19-1914345")</f>
        <v>0</v>
      </c>
      <c r="B476" t="s">
        <v>35</v>
      </c>
      <c r="C476" t="s">
        <v>61</v>
      </c>
      <c r="D476" t="s">
        <v>444</v>
      </c>
      <c r="E476" t="s">
        <v>881</v>
      </c>
      <c r="F476">
        <v>2094</v>
      </c>
      <c r="G476" t="s">
        <v>1178</v>
      </c>
      <c r="H476" t="s">
        <v>1318</v>
      </c>
      <c r="I476" t="s">
        <v>1404</v>
      </c>
      <c r="K476" t="s">
        <v>1437</v>
      </c>
      <c r="L476">
        <v>1</v>
      </c>
      <c r="M476">
        <v>0</v>
      </c>
      <c r="N476">
        <v>0</v>
      </c>
      <c r="O476" t="s">
        <v>1439</v>
      </c>
      <c r="P476">
        <v>42700</v>
      </c>
      <c r="Q476">
        <v>10462</v>
      </c>
      <c r="R476" t="s">
        <v>1445</v>
      </c>
      <c r="S476" t="s">
        <v>1465</v>
      </c>
      <c r="AC476">
        <v>0</v>
      </c>
      <c r="AD476">
        <v>0</v>
      </c>
      <c r="AF476">
        <v>0</v>
      </c>
      <c r="AG476">
        <v>0</v>
      </c>
      <c r="AH476">
        <v>0</v>
      </c>
      <c r="AI476">
        <v>0</v>
      </c>
    </row>
    <row r="477" spans="1:35">
      <c r="A477" s="1">
        <f>HYPERLINK("https://lsnyc.legalserver.org/matter/dynamic-profile/view/1914360","19-1914360")</f>
        <v>0</v>
      </c>
      <c r="B477" t="s">
        <v>35</v>
      </c>
      <c r="C477" t="s">
        <v>39</v>
      </c>
      <c r="D477" t="s">
        <v>445</v>
      </c>
      <c r="E477" t="s">
        <v>882</v>
      </c>
      <c r="F477">
        <v>2094</v>
      </c>
      <c r="G477" t="s">
        <v>1178</v>
      </c>
      <c r="H477" t="s">
        <v>1313</v>
      </c>
      <c r="I477" t="s">
        <v>1358</v>
      </c>
      <c r="K477" t="s">
        <v>1437</v>
      </c>
      <c r="L477">
        <v>1</v>
      </c>
      <c r="M477">
        <v>0</v>
      </c>
      <c r="N477">
        <v>0</v>
      </c>
      <c r="O477" t="s">
        <v>1442</v>
      </c>
      <c r="P477">
        <v>38568</v>
      </c>
      <c r="Q477">
        <v>10473</v>
      </c>
      <c r="R477" t="s">
        <v>1445</v>
      </c>
      <c r="S477" t="s">
        <v>1463</v>
      </c>
      <c r="T477" t="s">
        <v>1453</v>
      </c>
      <c r="U477" t="s">
        <v>1472</v>
      </c>
      <c r="Y477" t="s">
        <v>1502</v>
      </c>
      <c r="AC477">
        <v>0</v>
      </c>
      <c r="AD477">
        <v>0</v>
      </c>
      <c r="AF477">
        <v>0</v>
      </c>
      <c r="AG477">
        <v>0</v>
      </c>
      <c r="AH477">
        <v>0</v>
      </c>
      <c r="AI477">
        <v>0</v>
      </c>
    </row>
    <row r="478" spans="1:35">
      <c r="A478" s="1">
        <f>HYPERLINK("https://lsnyc.legalserver.org/matter/dynamic-profile/view/1914399","19-1914399")</f>
        <v>0</v>
      </c>
      <c r="B478" t="s">
        <v>35</v>
      </c>
      <c r="C478" t="s">
        <v>39</v>
      </c>
      <c r="D478" t="s">
        <v>446</v>
      </c>
      <c r="E478" t="s">
        <v>768</v>
      </c>
      <c r="F478">
        <v>2094</v>
      </c>
      <c r="G478" t="s">
        <v>1178</v>
      </c>
      <c r="H478" t="s">
        <v>1315</v>
      </c>
      <c r="I478" t="s">
        <v>1375</v>
      </c>
      <c r="K478" t="s">
        <v>1437</v>
      </c>
      <c r="L478">
        <v>3</v>
      </c>
      <c r="M478">
        <v>0</v>
      </c>
      <c r="N478">
        <v>1</v>
      </c>
      <c r="O478" t="s">
        <v>1441</v>
      </c>
      <c r="P478">
        <v>82512</v>
      </c>
      <c r="Q478">
        <v>10468</v>
      </c>
      <c r="R478" t="s">
        <v>1445</v>
      </c>
      <c r="S478" t="s">
        <v>1461</v>
      </c>
      <c r="T478" t="s">
        <v>1465</v>
      </c>
      <c r="U478" t="s">
        <v>1470</v>
      </c>
      <c r="Y478" t="s">
        <v>1498</v>
      </c>
      <c r="AC478">
        <v>0</v>
      </c>
      <c r="AD478">
        <v>0</v>
      </c>
      <c r="AF478">
        <v>0</v>
      </c>
      <c r="AG478">
        <v>0</v>
      </c>
      <c r="AH478">
        <v>0</v>
      </c>
      <c r="AI478">
        <v>0</v>
      </c>
    </row>
    <row r="479" spans="1:35">
      <c r="A479" s="1">
        <f>HYPERLINK("https://lsnyc.legalserver.org/matter/dynamic-profile/view/1914443","19-1914443")</f>
        <v>0</v>
      </c>
      <c r="B479" t="s">
        <v>35</v>
      </c>
      <c r="C479" t="s">
        <v>39</v>
      </c>
      <c r="D479" t="s">
        <v>447</v>
      </c>
      <c r="E479" t="s">
        <v>548</v>
      </c>
      <c r="F479">
        <v>2094</v>
      </c>
      <c r="G479" t="s">
        <v>1178</v>
      </c>
      <c r="H479" t="s">
        <v>1188</v>
      </c>
      <c r="I479" t="s">
        <v>1347</v>
      </c>
      <c r="K479" t="s">
        <v>1437</v>
      </c>
      <c r="L479">
        <v>2</v>
      </c>
      <c r="M479">
        <v>0</v>
      </c>
      <c r="N479">
        <v>1</v>
      </c>
      <c r="O479" t="s">
        <v>1442</v>
      </c>
      <c r="P479">
        <v>48624</v>
      </c>
      <c r="Q479">
        <v>10456</v>
      </c>
      <c r="R479" t="s">
        <v>1445</v>
      </c>
      <c r="S479" t="s">
        <v>1460</v>
      </c>
      <c r="U479" t="s">
        <v>1470</v>
      </c>
      <c r="Y479" t="s">
        <v>1498</v>
      </c>
      <c r="AC479">
        <v>0</v>
      </c>
      <c r="AD479">
        <v>0</v>
      </c>
      <c r="AF479">
        <v>0</v>
      </c>
      <c r="AG479">
        <v>0</v>
      </c>
      <c r="AH479">
        <v>0</v>
      </c>
      <c r="AI479">
        <v>0</v>
      </c>
    </row>
    <row r="480" spans="1:35">
      <c r="A480" s="1">
        <f>HYPERLINK("https://lsnyc.legalserver.org/matter/dynamic-profile/view/1914548","19-1914548")</f>
        <v>0</v>
      </c>
      <c r="B480" t="s">
        <v>36</v>
      </c>
      <c r="C480" t="s">
        <v>59</v>
      </c>
      <c r="D480" t="s">
        <v>448</v>
      </c>
      <c r="E480" t="s">
        <v>604</v>
      </c>
      <c r="F480">
        <v>2093</v>
      </c>
      <c r="G480" t="s">
        <v>1040</v>
      </c>
      <c r="H480" t="s">
        <v>1311</v>
      </c>
      <c r="K480" t="s">
        <v>1437</v>
      </c>
      <c r="L480">
        <v>4</v>
      </c>
      <c r="M480">
        <v>3</v>
      </c>
      <c r="N480">
        <v>0</v>
      </c>
      <c r="P480">
        <v>120000</v>
      </c>
      <c r="Q480">
        <v>11434</v>
      </c>
      <c r="R480" t="s">
        <v>1446</v>
      </c>
      <c r="U480" t="s">
        <v>1472</v>
      </c>
      <c r="AC480">
        <v>0</v>
      </c>
      <c r="AD480">
        <v>0</v>
      </c>
      <c r="AF480">
        <v>0</v>
      </c>
      <c r="AG480">
        <v>0</v>
      </c>
      <c r="AH480">
        <v>0</v>
      </c>
      <c r="AI480">
        <v>0</v>
      </c>
    </row>
    <row r="481" spans="1:35">
      <c r="A481" s="1">
        <f>HYPERLINK("https://lsnyc.legalserver.org/matter/dynamic-profile/view/1914915","19-1914915")</f>
        <v>0</v>
      </c>
      <c r="B481" t="s">
        <v>38</v>
      </c>
      <c r="C481" t="s">
        <v>63</v>
      </c>
      <c r="D481" t="s">
        <v>449</v>
      </c>
      <c r="E481" t="s">
        <v>883</v>
      </c>
      <c r="F481">
        <v>2090</v>
      </c>
      <c r="G481" t="s">
        <v>1258</v>
      </c>
      <c r="H481" t="s">
        <v>1313</v>
      </c>
      <c r="K481" t="s">
        <v>1437</v>
      </c>
      <c r="L481">
        <v>1</v>
      </c>
      <c r="M481">
        <v>2</v>
      </c>
      <c r="N481">
        <v>0</v>
      </c>
      <c r="P481">
        <v>34000</v>
      </c>
      <c r="Q481">
        <v>10301</v>
      </c>
      <c r="R481" t="s">
        <v>1448</v>
      </c>
      <c r="AC481">
        <v>0</v>
      </c>
      <c r="AD481">
        <v>0</v>
      </c>
      <c r="AF481">
        <v>0</v>
      </c>
      <c r="AG481">
        <v>0</v>
      </c>
      <c r="AH481">
        <v>0</v>
      </c>
      <c r="AI481">
        <v>0</v>
      </c>
    </row>
    <row r="482" spans="1:35">
      <c r="A482" s="1">
        <f>HYPERLINK("https://lsnyc.legalserver.org/matter/dynamic-profile/view/1915578","19-1915578")</f>
        <v>0</v>
      </c>
      <c r="B482" t="s">
        <v>36</v>
      </c>
      <c r="C482" t="s">
        <v>52</v>
      </c>
      <c r="D482" t="s">
        <v>450</v>
      </c>
      <c r="E482" t="s">
        <v>884</v>
      </c>
      <c r="F482">
        <v>2093</v>
      </c>
      <c r="G482" t="s">
        <v>1183</v>
      </c>
      <c r="H482" t="s">
        <v>1313</v>
      </c>
      <c r="K482" t="s">
        <v>1437</v>
      </c>
      <c r="L482">
        <v>2</v>
      </c>
      <c r="M482">
        <v>2</v>
      </c>
      <c r="N482">
        <v>0</v>
      </c>
      <c r="P482">
        <v>84000</v>
      </c>
      <c r="Q482">
        <v>11419</v>
      </c>
      <c r="R482" t="s">
        <v>1446</v>
      </c>
      <c r="AC482">
        <v>0</v>
      </c>
      <c r="AD482">
        <v>0</v>
      </c>
      <c r="AF482">
        <v>0</v>
      </c>
      <c r="AG482">
        <v>0</v>
      </c>
      <c r="AH482">
        <v>0</v>
      </c>
      <c r="AI482">
        <v>0</v>
      </c>
    </row>
    <row r="483" spans="1:35">
      <c r="A483" s="1">
        <f>HYPERLINK("https://lsnyc.legalserver.org/matter/dynamic-profile/view/1915889","19-1915889")</f>
        <v>0</v>
      </c>
      <c r="B483" t="s">
        <v>37</v>
      </c>
      <c r="C483" t="s">
        <v>58</v>
      </c>
      <c r="D483" t="s">
        <v>451</v>
      </c>
      <c r="E483" t="s">
        <v>885</v>
      </c>
      <c r="F483">
        <v>2091</v>
      </c>
      <c r="G483" t="s">
        <v>1259</v>
      </c>
      <c r="H483" t="s">
        <v>1316</v>
      </c>
      <c r="I483" t="s">
        <v>1424</v>
      </c>
      <c r="K483" t="s">
        <v>1437</v>
      </c>
      <c r="L483">
        <v>3</v>
      </c>
      <c r="M483">
        <v>0</v>
      </c>
      <c r="N483">
        <v>0</v>
      </c>
      <c r="O483" t="s">
        <v>1440</v>
      </c>
      <c r="P483">
        <v>55000</v>
      </c>
      <c r="Q483">
        <v>11226</v>
      </c>
      <c r="R483" t="s">
        <v>1447</v>
      </c>
      <c r="S483" t="s">
        <v>1453</v>
      </c>
      <c r="U483" t="s">
        <v>1475</v>
      </c>
      <c r="AC483">
        <v>0</v>
      </c>
      <c r="AD483">
        <v>0</v>
      </c>
      <c r="AF483">
        <v>0</v>
      </c>
      <c r="AG483">
        <v>0</v>
      </c>
      <c r="AH483">
        <v>0</v>
      </c>
      <c r="AI483">
        <v>0</v>
      </c>
    </row>
    <row r="484" spans="1:35">
      <c r="A484" s="1">
        <f>HYPERLINK("https://lsnyc.legalserver.org/matter/dynamic-profile/view/1915830","19-1915830")</f>
        <v>0</v>
      </c>
      <c r="B484" t="s">
        <v>38</v>
      </c>
      <c r="C484" t="s">
        <v>63</v>
      </c>
      <c r="D484" t="s">
        <v>452</v>
      </c>
      <c r="E484" t="s">
        <v>886</v>
      </c>
      <c r="F484">
        <v>2090</v>
      </c>
      <c r="G484" t="s">
        <v>1184</v>
      </c>
      <c r="H484" t="s">
        <v>989</v>
      </c>
      <c r="K484" t="s">
        <v>1437</v>
      </c>
      <c r="L484">
        <v>2</v>
      </c>
      <c r="M484">
        <v>0</v>
      </c>
      <c r="N484">
        <v>0</v>
      </c>
      <c r="P484">
        <v>74400</v>
      </c>
      <c r="Q484">
        <v>10301</v>
      </c>
      <c r="R484" t="s">
        <v>1448</v>
      </c>
      <c r="AC484">
        <v>0</v>
      </c>
      <c r="AD484">
        <v>0</v>
      </c>
      <c r="AF484">
        <v>0</v>
      </c>
      <c r="AG484">
        <v>0</v>
      </c>
      <c r="AH484">
        <v>0</v>
      </c>
      <c r="AI484">
        <v>0</v>
      </c>
    </row>
    <row r="485" spans="1:35">
      <c r="A485" s="1">
        <f>HYPERLINK("https://lsnyc.legalserver.org/matter/dynamic-profile/view/1916003","19-1916003")</f>
        <v>0</v>
      </c>
      <c r="B485" t="s">
        <v>36</v>
      </c>
      <c r="C485" t="s">
        <v>52</v>
      </c>
      <c r="D485" t="s">
        <v>179</v>
      </c>
      <c r="E485" t="s">
        <v>793</v>
      </c>
      <c r="F485">
        <v>2093</v>
      </c>
      <c r="G485" t="s">
        <v>1184</v>
      </c>
      <c r="H485" t="s">
        <v>1316</v>
      </c>
      <c r="K485" t="s">
        <v>1437</v>
      </c>
      <c r="L485">
        <v>4</v>
      </c>
      <c r="M485">
        <v>1</v>
      </c>
      <c r="N485">
        <v>0</v>
      </c>
      <c r="P485">
        <v>179300</v>
      </c>
      <c r="Q485">
        <v>11377</v>
      </c>
      <c r="R485" t="s">
        <v>1446</v>
      </c>
      <c r="AC485">
        <v>0</v>
      </c>
      <c r="AD485">
        <v>0</v>
      </c>
      <c r="AF485">
        <v>0</v>
      </c>
      <c r="AG485">
        <v>0</v>
      </c>
      <c r="AH485">
        <v>0</v>
      </c>
      <c r="AI485">
        <v>0</v>
      </c>
    </row>
    <row r="486" spans="1:35">
      <c r="A486" s="1">
        <f>HYPERLINK("https://lsnyc.legalserver.org/matter/dynamic-profile/view/1916466","19-1916466")</f>
        <v>0</v>
      </c>
      <c r="B486" t="s">
        <v>35</v>
      </c>
      <c r="C486" t="s">
        <v>39</v>
      </c>
      <c r="D486" t="s">
        <v>427</v>
      </c>
      <c r="E486" t="s">
        <v>887</v>
      </c>
      <c r="F486">
        <v>2094</v>
      </c>
      <c r="G486" t="s">
        <v>1186</v>
      </c>
      <c r="H486" t="s">
        <v>1311</v>
      </c>
      <c r="J486" t="s">
        <v>1335</v>
      </c>
      <c r="K486" t="s">
        <v>1437</v>
      </c>
      <c r="L486">
        <v>1</v>
      </c>
      <c r="M486">
        <v>0</v>
      </c>
      <c r="N486">
        <v>0</v>
      </c>
      <c r="O486" t="s">
        <v>1441</v>
      </c>
      <c r="P486">
        <v>94000</v>
      </c>
      <c r="Q486">
        <v>10473</v>
      </c>
      <c r="R486" t="s">
        <v>1445</v>
      </c>
      <c r="S486" t="s">
        <v>1454</v>
      </c>
      <c r="AC486">
        <v>0</v>
      </c>
      <c r="AD486">
        <v>0</v>
      </c>
      <c r="AF486">
        <v>0</v>
      </c>
      <c r="AG486">
        <v>0</v>
      </c>
      <c r="AH486">
        <v>0</v>
      </c>
      <c r="AI486">
        <v>0</v>
      </c>
    </row>
    <row r="487" spans="1:35">
      <c r="A487" s="1">
        <f>HYPERLINK("https://lsnyc.legalserver.org/matter/dynamic-profile/view/1916603","19-1916603")</f>
        <v>0</v>
      </c>
      <c r="B487" t="s">
        <v>36</v>
      </c>
      <c r="C487" t="s">
        <v>60</v>
      </c>
      <c r="D487" t="s">
        <v>453</v>
      </c>
      <c r="E487" t="s">
        <v>888</v>
      </c>
      <c r="F487">
        <v>2093</v>
      </c>
      <c r="G487" t="s">
        <v>1187</v>
      </c>
      <c r="H487" t="s">
        <v>1187</v>
      </c>
      <c r="I487" t="s">
        <v>1383</v>
      </c>
      <c r="K487" t="s">
        <v>1437</v>
      </c>
      <c r="L487">
        <v>1</v>
      </c>
      <c r="M487">
        <v>0</v>
      </c>
      <c r="N487">
        <v>0</v>
      </c>
      <c r="O487" t="s">
        <v>1440</v>
      </c>
      <c r="P487">
        <v>16200</v>
      </c>
      <c r="Q487">
        <v>11416</v>
      </c>
      <c r="R487" t="s">
        <v>1446</v>
      </c>
      <c r="S487" t="s">
        <v>1459</v>
      </c>
      <c r="U487" t="s">
        <v>1470</v>
      </c>
      <c r="Y487" t="s">
        <v>1498</v>
      </c>
      <c r="AC487">
        <v>0</v>
      </c>
      <c r="AD487">
        <v>0</v>
      </c>
      <c r="AF487">
        <v>0</v>
      </c>
      <c r="AG487">
        <v>0</v>
      </c>
      <c r="AH487">
        <v>0</v>
      </c>
      <c r="AI487">
        <v>0</v>
      </c>
    </row>
    <row r="488" spans="1:35">
      <c r="A488" s="1">
        <f>HYPERLINK("https://lsnyc.legalserver.org/matter/dynamic-profile/view/1917263","19-1917263")</f>
        <v>0</v>
      </c>
      <c r="B488" t="s">
        <v>36</v>
      </c>
      <c r="C488" t="s">
        <v>47</v>
      </c>
      <c r="D488" t="s">
        <v>284</v>
      </c>
      <c r="E488" t="s">
        <v>540</v>
      </c>
      <c r="F488">
        <v>2093</v>
      </c>
      <c r="G488" t="s">
        <v>1188</v>
      </c>
      <c r="H488" t="s">
        <v>1311</v>
      </c>
      <c r="K488" t="s">
        <v>1437</v>
      </c>
      <c r="L488">
        <v>4</v>
      </c>
      <c r="M488">
        <v>0</v>
      </c>
      <c r="N488">
        <v>1</v>
      </c>
      <c r="P488">
        <v>61300</v>
      </c>
      <c r="Q488">
        <v>11416</v>
      </c>
      <c r="R488" t="s">
        <v>1446</v>
      </c>
      <c r="S488" t="s">
        <v>1466</v>
      </c>
      <c r="AC488">
        <v>0</v>
      </c>
      <c r="AD488">
        <v>0</v>
      </c>
      <c r="AF488">
        <v>0</v>
      </c>
      <c r="AG488">
        <v>0</v>
      </c>
      <c r="AH488">
        <v>0</v>
      </c>
      <c r="AI488">
        <v>0</v>
      </c>
    </row>
    <row r="489" spans="1:35">
      <c r="A489" s="1">
        <f>HYPERLINK("https://lsnyc.legalserver.org/matter/dynamic-profile/view/1913250","19-1913250")</f>
        <v>0</v>
      </c>
      <c r="B489" t="s">
        <v>37</v>
      </c>
      <c r="C489" t="s">
        <v>42</v>
      </c>
      <c r="D489" t="s">
        <v>454</v>
      </c>
      <c r="E489" t="s">
        <v>889</v>
      </c>
      <c r="F489">
        <v>2091</v>
      </c>
      <c r="G489" t="s">
        <v>1039</v>
      </c>
      <c r="H489" t="s">
        <v>1317</v>
      </c>
      <c r="I489" t="s">
        <v>1398</v>
      </c>
      <c r="K489" t="s">
        <v>1438</v>
      </c>
      <c r="L489">
        <v>5</v>
      </c>
      <c r="M489">
        <v>2</v>
      </c>
      <c r="N489">
        <v>0</v>
      </c>
      <c r="P489">
        <v>130390</v>
      </c>
      <c r="Q489">
        <v>11209</v>
      </c>
      <c r="R489" t="s">
        <v>1447</v>
      </c>
      <c r="S489" t="s">
        <v>1454</v>
      </c>
      <c r="U489" t="s">
        <v>1475</v>
      </c>
      <c r="Y489" t="s">
        <v>1498</v>
      </c>
      <c r="AC489">
        <v>0</v>
      </c>
      <c r="AD489">
        <v>0</v>
      </c>
      <c r="AF489">
        <v>0</v>
      </c>
      <c r="AG489">
        <v>0</v>
      </c>
      <c r="AH489">
        <v>0</v>
      </c>
      <c r="AI489">
        <v>0</v>
      </c>
    </row>
    <row r="490" spans="1:35">
      <c r="A490" s="1">
        <f>HYPERLINK("https://lsnyc.legalserver.org/matter/dynamic-profile/view/1864698","18-1864698")</f>
        <v>0</v>
      </c>
      <c r="B490" t="s">
        <v>38</v>
      </c>
      <c r="C490" t="s">
        <v>45</v>
      </c>
      <c r="D490" t="s">
        <v>151</v>
      </c>
      <c r="E490" t="s">
        <v>890</v>
      </c>
      <c r="F490">
        <v>2090</v>
      </c>
      <c r="G490" t="s">
        <v>1260</v>
      </c>
      <c r="H490" t="s">
        <v>1313</v>
      </c>
      <c r="I490" t="s">
        <v>1425</v>
      </c>
      <c r="K490" t="s">
        <v>1438</v>
      </c>
      <c r="L490">
        <v>1</v>
      </c>
      <c r="M490">
        <v>0</v>
      </c>
      <c r="N490">
        <v>1</v>
      </c>
      <c r="O490" t="s">
        <v>1441</v>
      </c>
      <c r="P490">
        <v>11640</v>
      </c>
      <c r="Q490">
        <v>10306</v>
      </c>
      <c r="R490" t="s">
        <v>1448</v>
      </c>
      <c r="S490" t="s">
        <v>1452</v>
      </c>
      <c r="U490" t="s">
        <v>1474</v>
      </c>
      <c r="Y490" t="s">
        <v>1498</v>
      </c>
      <c r="AC490">
        <v>0</v>
      </c>
      <c r="AD490">
        <v>0</v>
      </c>
      <c r="AF490">
        <v>0</v>
      </c>
      <c r="AG490">
        <v>0</v>
      </c>
      <c r="AH490">
        <v>0</v>
      </c>
      <c r="AI490">
        <v>0</v>
      </c>
    </row>
    <row r="491" spans="1:35">
      <c r="A491" s="1">
        <f>HYPERLINK("https://lsnyc.legalserver.org/matter/dynamic-profile/view/1833328","17-1833328")</f>
        <v>0</v>
      </c>
      <c r="B491" t="s">
        <v>38</v>
      </c>
      <c r="C491" t="s">
        <v>53</v>
      </c>
      <c r="D491" t="s">
        <v>455</v>
      </c>
      <c r="E491" t="s">
        <v>891</v>
      </c>
      <c r="F491">
        <v>2090</v>
      </c>
      <c r="G491" t="s">
        <v>1261</v>
      </c>
      <c r="H491" t="s">
        <v>1313</v>
      </c>
      <c r="I491" t="s">
        <v>1330</v>
      </c>
      <c r="K491" t="s">
        <v>1438</v>
      </c>
      <c r="L491">
        <v>2</v>
      </c>
      <c r="M491">
        <v>0</v>
      </c>
      <c r="N491">
        <v>0</v>
      </c>
      <c r="O491" t="s">
        <v>1439</v>
      </c>
      <c r="P491">
        <v>49400</v>
      </c>
      <c r="Q491">
        <v>10314</v>
      </c>
      <c r="R491" t="s">
        <v>1448</v>
      </c>
      <c r="S491" t="s">
        <v>1454</v>
      </c>
      <c r="U491" t="s">
        <v>1473</v>
      </c>
      <c r="V491" t="s">
        <v>1474</v>
      </c>
      <c r="Y491" t="s">
        <v>1510</v>
      </c>
      <c r="AA491" t="s">
        <v>1526</v>
      </c>
      <c r="AC491">
        <v>1774.74</v>
      </c>
      <c r="AD491">
        <v>0</v>
      </c>
      <c r="AE491">
        <v>72547.2</v>
      </c>
      <c r="AF491">
        <v>107988.13</v>
      </c>
      <c r="AG491">
        <v>0</v>
      </c>
      <c r="AH491">
        <v>0</v>
      </c>
      <c r="AI491">
        <v>0</v>
      </c>
    </row>
    <row r="492" spans="1:35">
      <c r="A492" s="1">
        <f>HYPERLINK("https://lsnyc.legalserver.org/matter/dynamic-profile/view/1860467","18-1860467")</f>
        <v>0</v>
      </c>
      <c r="B492" t="s">
        <v>38</v>
      </c>
      <c r="C492" t="s">
        <v>48</v>
      </c>
      <c r="D492" t="s">
        <v>164</v>
      </c>
      <c r="E492" t="s">
        <v>892</v>
      </c>
      <c r="F492">
        <v>2090</v>
      </c>
      <c r="G492" t="s">
        <v>1262</v>
      </c>
      <c r="H492" t="s">
        <v>1313</v>
      </c>
      <c r="I492" t="s">
        <v>1426</v>
      </c>
      <c r="K492" t="s">
        <v>1438</v>
      </c>
      <c r="L492">
        <v>2</v>
      </c>
      <c r="M492">
        <v>3</v>
      </c>
      <c r="N492">
        <v>0</v>
      </c>
      <c r="P492">
        <v>29880</v>
      </c>
      <c r="Q492">
        <v>10306</v>
      </c>
      <c r="R492" t="s">
        <v>1448</v>
      </c>
      <c r="S492" t="s">
        <v>1454</v>
      </c>
      <c r="U492" t="s">
        <v>1472</v>
      </c>
      <c r="V492" t="s">
        <v>1473</v>
      </c>
      <c r="Y492" t="s">
        <v>1510</v>
      </c>
      <c r="AA492" t="s">
        <v>1504</v>
      </c>
      <c r="AC492">
        <v>0</v>
      </c>
      <c r="AD492">
        <v>0</v>
      </c>
      <c r="AE492" t="s">
        <v>1533</v>
      </c>
      <c r="AF492">
        <v>0</v>
      </c>
      <c r="AG492">
        <v>0</v>
      </c>
      <c r="AH492">
        <v>0</v>
      </c>
      <c r="AI492">
        <v>0</v>
      </c>
    </row>
    <row r="493" spans="1:35">
      <c r="A493" s="1">
        <f>HYPERLINK("https://lsnyc.legalserver.org/matter/dynamic-profile/view/1872301","18-1872301")</f>
        <v>0</v>
      </c>
      <c r="B493" t="s">
        <v>38</v>
      </c>
      <c r="C493" t="s">
        <v>48</v>
      </c>
      <c r="D493" t="s">
        <v>151</v>
      </c>
      <c r="E493" t="s">
        <v>893</v>
      </c>
      <c r="F493">
        <v>2090</v>
      </c>
      <c r="G493" t="s">
        <v>1263</v>
      </c>
      <c r="H493" t="s">
        <v>1313</v>
      </c>
      <c r="I493" t="s">
        <v>1369</v>
      </c>
      <c r="K493" t="s">
        <v>1438</v>
      </c>
      <c r="L493">
        <v>2</v>
      </c>
      <c r="M493">
        <v>0</v>
      </c>
      <c r="N493">
        <v>0</v>
      </c>
      <c r="P493">
        <v>36000</v>
      </c>
      <c r="Q493">
        <v>10309</v>
      </c>
      <c r="R493" t="s">
        <v>1448</v>
      </c>
      <c r="S493" t="s">
        <v>1460</v>
      </c>
      <c r="U493" t="s">
        <v>1475</v>
      </c>
      <c r="V493" t="s">
        <v>1474</v>
      </c>
      <c r="Y493" t="s">
        <v>1519</v>
      </c>
      <c r="AA493" t="s">
        <v>1498</v>
      </c>
      <c r="AC493">
        <v>0</v>
      </c>
      <c r="AD493">
        <v>0</v>
      </c>
      <c r="AE493">
        <v>52.23</v>
      </c>
      <c r="AF493">
        <v>0</v>
      </c>
      <c r="AG493">
        <v>0</v>
      </c>
      <c r="AH493">
        <v>0</v>
      </c>
      <c r="AI493">
        <v>0</v>
      </c>
    </row>
    <row r="494" spans="1:35">
      <c r="A494" s="1">
        <f>HYPERLINK("https://lsnyc.legalserver.org/matter/dynamic-profile/view/1901225","19-1901225")</f>
        <v>0</v>
      </c>
      <c r="B494" t="s">
        <v>38</v>
      </c>
      <c r="C494" t="s">
        <v>48</v>
      </c>
      <c r="D494" t="s">
        <v>221</v>
      </c>
      <c r="E494" t="s">
        <v>894</v>
      </c>
      <c r="F494">
        <v>2090</v>
      </c>
      <c r="G494" t="s">
        <v>1145</v>
      </c>
      <c r="H494" t="s">
        <v>1313</v>
      </c>
      <c r="I494" t="s">
        <v>1334</v>
      </c>
      <c r="K494" t="s">
        <v>1438</v>
      </c>
      <c r="L494">
        <v>4</v>
      </c>
      <c r="M494">
        <v>2</v>
      </c>
      <c r="N494">
        <v>0</v>
      </c>
      <c r="P494">
        <v>107000</v>
      </c>
      <c r="Q494">
        <v>10309</v>
      </c>
      <c r="R494" t="s">
        <v>1448</v>
      </c>
      <c r="S494" t="s">
        <v>1454</v>
      </c>
      <c r="U494" t="s">
        <v>1475</v>
      </c>
      <c r="Y494" t="s">
        <v>1498</v>
      </c>
      <c r="AC494">
        <v>0</v>
      </c>
      <c r="AD494">
        <v>0</v>
      </c>
      <c r="AF494">
        <v>0</v>
      </c>
      <c r="AG494">
        <v>0</v>
      </c>
      <c r="AH494">
        <v>0</v>
      </c>
      <c r="AI494">
        <v>0</v>
      </c>
    </row>
    <row r="495" spans="1:35">
      <c r="A495" s="1">
        <f>HYPERLINK("https://lsnyc.legalserver.org/matter/dynamic-profile/view/1893255","19-1893255")</f>
        <v>0</v>
      </c>
      <c r="B495" t="s">
        <v>36</v>
      </c>
      <c r="C495" t="s">
        <v>56</v>
      </c>
      <c r="D495" t="s">
        <v>203</v>
      </c>
      <c r="E495" t="s">
        <v>895</v>
      </c>
      <c r="F495">
        <v>2093</v>
      </c>
      <c r="G495" t="s">
        <v>1264</v>
      </c>
      <c r="H495" t="s">
        <v>982</v>
      </c>
      <c r="I495" t="s">
        <v>1418</v>
      </c>
      <c r="K495" t="s">
        <v>1438</v>
      </c>
      <c r="L495">
        <v>3</v>
      </c>
      <c r="M495">
        <v>0</v>
      </c>
      <c r="N495">
        <v>0</v>
      </c>
      <c r="O495" t="s">
        <v>1440</v>
      </c>
      <c r="P495">
        <v>33672</v>
      </c>
      <c r="Q495">
        <v>11693</v>
      </c>
      <c r="R495" t="s">
        <v>1446</v>
      </c>
      <c r="S495" t="s">
        <v>1454</v>
      </c>
      <c r="U495" t="s">
        <v>1472</v>
      </c>
      <c r="Y495" t="s">
        <v>1519</v>
      </c>
      <c r="AA495" t="s">
        <v>1501</v>
      </c>
      <c r="AC495">
        <v>0</v>
      </c>
      <c r="AD495">
        <v>0</v>
      </c>
      <c r="AF495">
        <v>0</v>
      </c>
      <c r="AG495">
        <v>0</v>
      </c>
      <c r="AH495">
        <v>0</v>
      </c>
      <c r="AI495">
        <v>0</v>
      </c>
    </row>
    <row r="496" spans="1:35">
      <c r="A496" s="1">
        <f>HYPERLINK("https://lsnyc.legalserver.org/matter/dynamic-profile/view/1891150","19-1891150")</f>
        <v>0</v>
      </c>
      <c r="B496" t="s">
        <v>38</v>
      </c>
      <c r="C496" t="s">
        <v>45</v>
      </c>
      <c r="D496" t="s">
        <v>456</v>
      </c>
      <c r="E496" t="s">
        <v>896</v>
      </c>
      <c r="F496">
        <v>2090</v>
      </c>
      <c r="G496" t="s">
        <v>1240</v>
      </c>
      <c r="H496" t="s">
        <v>1188</v>
      </c>
      <c r="I496" t="s">
        <v>1340</v>
      </c>
      <c r="K496" t="s">
        <v>1438</v>
      </c>
      <c r="L496">
        <v>1</v>
      </c>
      <c r="M496">
        <v>0</v>
      </c>
      <c r="N496">
        <v>0</v>
      </c>
      <c r="P496">
        <v>36300</v>
      </c>
      <c r="Q496">
        <v>10312</v>
      </c>
      <c r="R496" t="s">
        <v>1448</v>
      </c>
      <c r="S496" t="s">
        <v>1453</v>
      </c>
      <c r="U496" t="s">
        <v>1474</v>
      </c>
      <c r="V496" t="s">
        <v>1470</v>
      </c>
      <c r="Y496" t="s">
        <v>1506</v>
      </c>
      <c r="AC496">
        <v>0</v>
      </c>
      <c r="AD496">
        <v>0</v>
      </c>
      <c r="AF496">
        <v>0</v>
      </c>
      <c r="AG496">
        <v>0</v>
      </c>
      <c r="AH496">
        <v>0</v>
      </c>
      <c r="AI496">
        <v>0</v>
      </c>
    </row>
    <row r="497" spans="1:35">
      <c r="A497" s="1">
        <f>HYPERLINK("https://lsnyc.legalserver.org/matter/dynamic-profile/view/1898184","19-1898184")</f>
        <v>0</v>
      </c>
      <c r="B497" t="s">
        <v>36</v>
      </c>
      <c r="C497" t="s">
        <v>40</v>
      </c>
      <c r="D497" t="s">
        <v>457</v>
      </c>
      <c r="E497" t="s">
        <v>685</v>
      </c>
      <c r="F497">
        <v>2093</v>
      </c>
      <c r="G497" t="s">
        <v>1265</v>
      </c>
      <c r="H497" t="s">
        <v>1301</v>
      </c>
      <c r="K497" t="s">
        <v>1438</v>
      </c>
      <c r="L497">
        <v>1</v>
      </c>
      <c r="M497">
        <v>0</v>
      </c>
      <c r="N497">
        <v>0</v>
      </c>
      <c r="P497">
        <v>28906.92</v>
      </c>
      <c r="Q497">
        <v>11423</v>
      </c>
      <c r="R497" t="s">
        <v>1446</v>
      </c>
      <c r="S497" t="s">
        <v>1458</v>
      </c>
      <c r="U497" t="s">
        <v>1470</v>
      </c>
      <c r="Y497" t="s">
        <v>1498</v>
      </c>
      <c r="AC497">
        <v>0</v>
      </c>
      <c r="AD497">
        <v>0</v>
      </c>
      <c r="AF497">
        <v>0</v>
      </c>
      <c r="AG497">
        <v>0</v>
      </c>
      <c r="AH497">
        <v>0</v>
      </c>
      <c r="AI497">
        <v>0</v>
      </c>
    </row>
    <row r="498" spans="1:35">
      <c r="A498" s="1">
        <f>HYPERLINK("https://lsnyc.legalserver.org/matter/dynamic-profile/view/1899255","19-1899255")</f>
        <v>0</v>
      </c>
      <c r="B498" t="s">
        <v>38</v>
      </c>
      <c r="C498" t="s">
        <v>45</v>
      </c>
      <c r="D498" t="s">
        <v>458</v>
      </c>
      <c r="E498" t="s">
        <v>897</v>
      </c>
      <c r="F498">
        <v>2090</v>
      </c>
      <c r="G498" t="s">
        <v>1266</v>
      </c>
      <c r="H498" t="s">
        <v>1188</v>
      </c>
      <c r="K498" t="s">
        <v>1438</v>
      </c>
      <c r="L498">
        <v>1</v>
      </c>
      <c r="M498">
        <v>0</v>
      </c>
      <c r="N498">
        <v>0</v>
      </c>
      <c r="O498" t="s">
        <v>1439</v>
      </c>
      <c r="P498">
        <v>14400</v>
      </c>
      <c r="Q498">
        <v>10314</v>
      </c>
      <c r="R498" t="s">
        <v>1448</v>
      </c>
      <c r="S498" t="s">
        <v>1452</v>
      </c>
      <c r="U498" t="s">
        <v>1470</v>
      </c>
      <c r="Y498" t="s">
        <v>1498</v>
      </c>
      <c r="AC498">
        <v>0</v>
      </c>
      <c r="AD498">
        <v>0</v>
      </c>
      <c r="AF498">
        <v>0</v>
      </c>
      <c r="AG498">
        <v>0</v>
      </c>
      <c r="AH498">
        <v>0</v>
      </c>
      <c r="AI498">
        <v>0</v>
      </c>
    </row>
    <row r="499" spans="1:35">
      <c r="A499" s="1">
        <f>HYPERLINK("https://lsnyc.legalserver.org/matter/dynamic-profile/view/1912241","19-1912241")</f>
        <v>0</v>
      </c>
      <c r="B499" t="s">
        <v>37</v>
      </c>
      <c r="C499" t="s">
        <v>58</v>
      </c>
      <c r="D499" t="s">
        <v>459</v>
      </c>
      <c r="E499" t="s">
        <v>898</v>
      </c>
      <c r="F499">
        <v>2091</v>
      </c>
      <c r="G499" t="s">
        <v>1014</v>
      </c>
      <c r="H499" t="s">
        <v>1184</v>
      </c>
      <c r="I499" t="s">
        <v>1366</v>
      </c>
      <c r="K499" t="s">
        <v>1438</v>
      </c>
      <c r="L499">
        <v>2</v>
      </c>
      <c r="M499">
        <v>0</v>
      </c>
      <c r="N499">
        <v>1</v>
      </c>
      <c r="O499" t="s">
        <v>1441</v>
      </c>
      <c r="P499">
        <v>21264</v>
      </c>
      <c r="Q499">
        <v>11235</v>
      </c>
      <c r="R499" t="s">
        <v>1447</v>
      </c>
      <c r="S499" t="s">
        <v>1452</v>
      </c>
      <c r="U499" t="s">
        <v>1470</v>
      </c>
      <c r="Y499" t="s">
        <v>1498</v>
      </c>
      <c r="AC499">
        <v>0</v>
      </c>
      <c r="AD499">
        <v>0</v>
      </c>
      <c r="AF499">
        <v>0</v>
      </c>
      <c r="AG499">
        <v>0</v>
      </c>
      <c r="AH499">
        <v>0</v>
      </c>
      <c r="AI499">
        <v>0</v>
      </c>
    </row>
    <row r="500" spans="1:35">
      <c r="A500" s="1">
        <f>HYPERLINK("https://lsnyc.legalserver.org/matter/dynamic-profile/view/1910563","19-1910563")</f>
        <v>0</v>
      </c>
      <c r="B500" t="s">
        <v>38</v>
      </c>
      <c r="C500" t="s">
        <v>45</v>
      </c>
      <c r="D500" t="s">
        <v>460</v>
      </c>
      <c r="E500" t="s">
        <v>899</v>
      </c>
      <c r="F500">
        <v>2090</v>
      </c>
      <c r="G500" t="s">
        <v>1267</v>
      </c>
      <c r="H500" t="s">
        <v>1186</v>
      </c>
      <c r="I500" t="s">
        <v>1334</v>
      </c>
      <c r="K500" t="s">
        <v>1438</v>
      </c>
      <c r="L500">
        <v>3</v>
      </c>
      <c r="M500">
        <v>1</v>
      </c>
      <c r="N500">
        <v>0</v>
      </c>
      <c r="P500">
        <v>37444</v>
      </c>
      <c r="Q500">
        <v>10314</v>
      </c>
      <c r="R500" t="s">
        <v>1448</v>
      </c>
      <c r="S500" t="s">
        <v>1453</v>
      </c>
      <c r="U500" t="s">
        <v>1470</v>
      </c>
      <c r="Y500" t="s">
        <v>1498</v>
      </c>
      <c r="AC500">
        <v>0</v>
      </c>
      <c r="AD500">
        <v>0</v>
      </c>
      <c r="AF500">
        <v>0</v>
      </c>
      <c r="AG500">
        <v>0</v>
      </c>
      <c r="AH500">
        <v>0</v>
      </c>
      <c r="AI500">
        <v>0</v>
      </c>
    </row>
    <row r="501" spans="1:35">
      <c r="A501" s="1">
        <f>HYPERLINK("https://lsnyc.legalserver.org/matter/dynamic-profile/view/1906899","19-1906899")</f>
        <v>0</v>
      </c>
      <c r="B501" t="s">
        <v>35</v>
      </c>
      <c r="C501" t="s">
        <v>46</v>
      </c>
      <c r="D501" t="s">
        <v>461</v>
      </c>
      <c r="E501" t="s">
        <v>900</v>
      </c>
      <c r="F501">
        <v>2094</v>
      </c>
      <c r="G501" t="s">
        <v>1000</v>
      </c>
      <c r="H501" t="s">
        <v>1313</v>
      </c>
      <c r="I501" t="s">
        <v>1363</v>
      </c>
      <c r="K501" t="s">
        <v>1438</v>
      </c>
      <c r="L501">
        <v>2</v>
      </c>
      <c r="M501">
        <v>0</v>
      </c>
      <c r="N501">
        <v>2</v>
      </c>
      <c r="O501" t="s">
        <v>1440</v>
      </c>
      <c r="P501">
        <v>64112</v>
      </c>
      <c r="Q501">
        <v>10465</v>
      </c>
      <c r="R501" t="s">
        <v>1445</v>
      </c>
      <c r="S501" t="s">
        <v>1454</v>
      </c>
      <c r="U501" t="s">
        <v>1472</v>
      </c>
      <c r="V501" t="s">
        <v>1470</v>
      </c>
      <c r="Y501" t="s">
        <v>1502</v>
      </c>
      <c r="AA501" t="s">
        <v>1498</v>
      </c>
      <c r="AC501">
        <v>0</v>
      </c>
      <c r="AD501">
        <v>0</v>
      </c>
      <c r="AF501">
        <v>0</v>
      </c>
      <c r="AG501">
        <v>0</v>
      </c>
      <c r="AH501">
        <v>0</v>
      </c>
      <c r="AI501">
        <v>0</v>
      </c>
    </row>
    <row r="502" spans="1:35">
      <c r="A502" s="1">
        <f>HYPERLINK("https://lsnyc.legalserver.org/matter/dynamic-profile/view/1878333","18-1878333")</f>
        <v>0</v>
      </c>
      <c r="B502" t="s">
        <v>38</v>
      </c>
      <c r="C502" t="s">
        <v>48</v>
      </c>
      <c r="D502" t="s">
        <v>462</v>
      </c>
      <c r="E502" t="s">
        <v>901</v>
      </c>
      <c r="F502">
        <v>2090</v>
      </c>
      <c r="G502" t="s">
        <v>1268</v>
      </c>
      <c r="H502" t="s">
        <v>1317</v>
      </c>
      <c r="I502" t="s">
        <v>1353</v>
      </c>
      <c r="K502" t="s">
        <v>1438</v>
      </c>
      <c r="L502">
        <v>2</v>
      </c>
      <c r="M502">
        <v>1</v>
      </c>
      <c r="N502">
        <v>0</v>
      </c>
      <c r="P502">
        <v>84958</v>
      </c>
      <c r="Q502">
        <v>10310</v>
      </c>
      <c r="R502" t="s">
        <v>1448</v>
      </c>
      <c r="S502" t="s">
        <v>1452</v>
      </c>
      <c r="U502" t="s">
        <v>1473</v>
      </c>
      <c r="V502" t="s">
        <v>1474</v>
      </c>
      <c r="Y502" t="s">
        <v>1510</v>
      </c>
      <c r="AA502" t="s">
        <v>1504</v>
      </c>
      <c r="AC502">
        <v>0</v>
      </c>
      <c r="AD502">
        <v>0</v>
      </c>
      <c r="AE502" t="s">
        <v>1534</v>
      </c>
      <c r="AF502">
        <v>0</v>
      </c>
      <c r="AG502">
        <v>0</v>
      </c>
      <c r="AH502">
        <v>0</v>
      </c>
      <c r="AI502">
        <v>0</v>
      </c>
    </row>
    <row r="503" spans="1:35">
      <c r="A503" s="1">
        <f>HYPERLINK("https://lsnyc.legalserver.org/matter/dynamic-profile/view/1885264","18-1885264")</f>
        <v>0</v>
      </c>
      <c r="B503" t="s">
        <v>38</v>
      </c>
      <c r="C503" t="s">
        <v>48</v>
      </c>
      <c r="D503" t="s">
        <v>463</v>
      </c>
      <c r="E503" t="s">
        <v>902</v>
      </c>
      <c r="F503">
        <v>2090</v>
      </c>
      <c r="G503" t="s">
        <v>1269</v>
      </c>
      <c r="H503" t="s">
        <v>1317</v>
      </c>
      <c r="I503" t="s">
        <v>1358</v>
      </c>
      <c r="K503" t="s">
        <v>1438</v>
      </c>
      <c r="L503">
        <v>1</v>
      </c>
      <c r="M503">
        <v>0</v>
      </c>
      <c r="N503">
        <v>0</v>
      </c>
      <c r="P503">
        <v>52000</v>
      </c>
      <c r="Q503">
        <v>10314</v>
      </c>
      <c r="R503" t="s">
        <v>1448</v>
      </c>
      <c r="S503" t="s">
        <v>1456</v>
      </c>
      <c r="U503" t="s">
        <v>1474</v>
      </c>
      <c r="V503" t="s">
        <v>1470</v>
      </c>
      <c r="W503" t="s">
        <v>1490</v>
      </c>
      <c r="Y503" t="s">
        <v>1500</v>
      </c>
      <c r="AA503" t="s">
        <v>1498</v>
      </c>
      <c r="AC503">
        <v>563.2</v>
      </c>
      <c r="AD503">
        <v>0</v>
      </c>
      <c r="AF503">
        <v>0</v>
      </c>
      <c r="AG503">
        <v>0</v>
      </c>
      <c r="AH503">
        <v>0</v>
      </c>
      <c r="AI503">
        <v>0</v>
      </c>
    </row>
    <row r="504" spans="1:35">
      <c r="A504" s="1">
        <f>HYPERLINK("https://lsnyc.legalserver.org/matter/dynamic-profile/view/0831117","17-0831117")</f>
        <v>0</v>
      </c>
      <c r="B504" t="s">
        <v>38</v>
      </c>
      <c r="C504" t="s">
        <v>45</v>
      </c>
      <c r="D504" t="s">
        <v>103</v>
      </c>
      <c r="E504" t="s">
        <v>903</v>
      </c>
      <c r="F504">
        <v>2090</v>
      </c>
      <c r="G504" t="s">
        <v>1270</v>
      </c>
      <c r="H504" t="s">
        <v>1315</v>
      </c>
      <c r="I504" t="s">
        <v>1394</v>
      </c>
      <c r="K504" t="s">
        <v>1438</v>
      </c>
      <c r="L504">
        <v>2</v>
      </c>
      <c r="M504">
        <v>2</v>
      </c>
      <c r="N504">
        <v>0</v>
      </c>
      <c r="P504">
        <v>37200</v>
      </c>
      <c r="Q504">
        <v>10306</v>
      </c>
      <c r="R504" t="s">
        <v>1448</v>
      </c>
      <c r="S504" t="s">
        <v>1454</v>
      </c>
      <c r="U504" t="s">
        <v>1471</v>
      </c>
      <c r="W504" t="s">
        <v>1490</v>
      </c>
      <c r="Y504" t="s">
        <v>1500</v>
      </c>
      <c r="AC504">
        <v>2165.5</v>
      </c>
      <c r="AD504">
        <v>0</v>
      </c>
      <c r="AF504">
        <v>31500</v>
      </c>
      <c r="AG504">
        <v>0</v>
      </c>
      <c r="AH504">
        <v>0</v>
      </c>
      <c r="AI504">
        <v>0</v>
      </c>
    </row>
    <row r="505" spans="1:35">
      <c r="A505" s="1">
        <f>HYPERLINK("https://lsnyc.legalserver.org/matter/dynamic-profile/view/1897826","19-1897826")</f>
        <v>0</v>
      </c>
      <c r="B505" t="s">
        <v>38</v>
      </c>
      <c r="C505" t="s">
        <v>44</v>
      </c>
      <c r="D505" t="s">
        <v>464</v>
      </c>
      <c r="E505" t="s">
        <v>904</v>
      </c>
      <c r="F505">
        <v>2090</v>
      </c>
      <c r="G505" t="s">
        <v>1271</v>
      </c>
      <c r="H505" t="s">
        <v>1315</v>
      </c>
      <c r="I505" t="s">
        <v>1338</v>
      </c>
      <c r="K505" t="s">
        <v>1438</v>
      </c>
      <c r="L505">
        <v>3</v>
      </c>
      <c r="M505">
        <v>0</v>
      </c>
      <c r="N505">
        <v>0</v>
      </c>
      <c r="O505" t="s">
        <v>1440</v>
      </c>
      <c r="P505">
        <v>35888.4</v>
      </c>
      <c r="Q505">
        <v>10305</v>
      </c>
      <c r="R505" t="s">
        <v>1448</v>
      </c>
      <c r="S505" t="s">
        <v>1460</v>
      </c>
      <c r="U505" t="s">
        <v>1474</v>
      </c>
      <c r="Y505" t="s">
        <v>1498</v>
      </c>
      <c r="AC505">
        <v>0</v>
      </c>
      <c r="AD505">
        <v>0</v>
      </c>
      <c r="AF505">
        <v>0</v>
      </c>
      <c r="AG505">
        <v>0</v>
      </c>
      <c r="AH505">
        <v>0</v>
      </c>
      <c r="AI505">
        <v>0</v>
      </c>
    </row>
    <row r="506" spans="1:35">
      <c r="A506" s="1">
        <f>HYPERLINK("https://lsnyc.legalserver.org/matter/dynamic-profile/view/1900536","19-1900536")</f>
        <v>0</v>
      </c>
      <c r="B506" t="s">
        <v>36</v>
      </c>
      <c r="C506" t="s">
        <v>47</v>
      </c>
      <c r="D506" t="s">
        <v>465</v>
      </c>
      <c r="E506" t="s">
        <v>905</v>
      </c>
      <c r="F506">
        <v>2093</v>
      </c>
      <c r="G506" t="s">
        <v>1272</v>
      </c>
      <c r="H506" t="s">
        <v>1187</v>
      </c>
      <c r="K506" t="s">
        <v>1438</v>
      </c>
      <c r="L506">
        <v>2</v>
      </c>
      <c r="M506">
        <v>0</v>
      </c>
      <c r="N506">
        <v>2</v>
      </c>
      <c r="O506" t="s">
        <v>1443</v>
      </c>
      <c r="P506">
        <v>38160</v>
      </c>
      <c r="Q506">
        <v>11372</v>
      </c>
      <c r="R506" t="s">
        <v>1446</v>
      </c>
      <c r="S506" t="s">
        <v>1456</v>
      </c>
      <c r="U506" t="s">
        <v>1470</v>
      </c>
      <c r="V506" t="s">
        <v>1480</v>
      </c>
      <c r="Y506" t="s">
        <v>1498</v>
      </c>
      <c r="AA506" t="s">
        <v>1507</v>
      </c>
      <c r="AC506">
        <v>0</v>
      </c>
      <c r="AD506">
        <v>0</v>
      </c>
      <c r="AF506">
        <v>0</v>
      </c>
      <c r="AG506">
        <v>0</v>
      </c>
      <c r="AH506">
        <v>0</v>
      </c>
      <c r="AI506">
        <v>0</v>
      </c>
    </row>
    <row r="507" spans="1:35">
      <c r="A507" s="1">
        <f>HYPERLINK("https://lsnyc.legalserver.org/matter/dynamic-profile/view/1906038","19-1906038")</f>
        <v>0</v>
      </c>
      <c r="B507" t="s">
        <v>38</v>
      </c>
      <c r="C507" t="s">
        <v>45</v>
      </c>
      <c r="D507" t="s">
        <v>466</v>
      </c>
      <c r="E507" t="s">
        <v>727</v>
      </c>
      <c r="F507">
        <v>2090</v>
      </c>
      <c r="G507" t="s">
        <v>1273</v>
      </c>
      <c r="H507" t="s">
        <v>1315</v>
      </c>
      <c r="I507" t="s">
        <v>1342</v>
      </c>
      <c r="K507" t="s">
        <v>1438</v>
      </c>
      <c r="L507">
        <v>3</v>
      </c>
      <c r="M507">
        <v>0</v>
      </c>
      <c r="N507">
        <v>0</v>
      </c>
      <c r="O507" t="s">
        <v>1440</v>
      </c>
      <c r="P507">
        <v>90000</v>
      </c>
      <c r="Q507">
        <v>10310</v>
      </c>
      <c r="R507" t="s">
        <v>1448</v>
      </c>
      <c r="S507" t="s">
        <v>1463</v>
      </c>
      <c r="U507" t="s">
        <v>1470</v>
      </c>
      <c r="Y507" t="s">
        <v>1498</v>
      </c>
      <c r="AC507">
        <v>0</v>
      </c>
      <c r="AD507">
        <v>0</v>
      </c>
      <c r="AF507">
        <v>0</v>
      </c>
      <c r="AG507">
        <v>0</v>
      </c>
      <c r="AH507">
        <v>0</v>
      </c>
      <c r="AI507">
        <v>0</v>
      </c>
    </row>
    <row r="508" spans="1:35">
      <c r="A508" s="1">
        <f>HYPERLINK("https://lsnyc.legalserver.org/matter/dynamic-profile/view/0723237","12-0723237")</f>
        <v>0</v>
      </c>
      <c r="B508" t="s">
        <v>38</v>
      </c>
      <c r="C508" t="s">
        <v>45</v>
      </c>
      <c r="D508" t="s">
        <v>135</v>
      </c>
      <c r="E508" t="s">
        <v>906</v>
      </c>
      <c r="F508">
        <v>2090</v>
      </c>
      <c r="G508" t="s">
        <v>1274</v>
      </c>
      <c r="H508" t="s">
        <v>1188</v>
      </c>
      <c r="I508" t="s">
        <v>1427</v>
      </c>
      <c r="K508" t="s">
        <v>1438</v>
      </c>
      <c r="L508">
        <v>2</v>
      </c>
      <c r="M508">
        <v>2</v>
      </c>
      <c r="N508">
        <v>0</v>
      </c>
      <c r="P508">
        <v>45132</v>
      </c>
      <c r="Q508">
        <v>10305</v>
      </c>
      <c r="R508" t="s">
        <v>1448</v>
      </c>
      <c r="S508" t="s">
        <v>1452</v>
      </c>
      <c r="U508" t="s">
        <v>1473</v>
      </c>
      <c r="V508" t="s">
        <v>1471</v>
      </c>
      <c r="Y508" t="s">
        <v>1503</v>
      </c>
      <c r="AA508" t="s">
        <v>1504</v>
      </c>
      <c r="AC508">
        <v>0</v>
      </c>
      <c r="AD508">
        <v>0</v>
      </c>
      <c r="AF508">
        <v>0</v>
      </c>
      <c r="AG508">
        <v>0</v>
      </c>
      <c r="AH508">
        <v>0</v>
      </c>
      <c r="AI508">
        <v>0</v>
      </c>
    </row>
    <row r="509" spans="1:35">
      <c r="A509" s="1">
        <f>HYPERLINK("https://lsnyc.legalserver.org/matter/dynamic-profile/view/0754437","14-0754437")</f>
        <v>0</v>
      </c>
      <c r="B509" t="s">
        <v>38</v>
      </c>
      <c r="C509" t="s">
        <v>44</v>
      </c>
      <c r="D509" t="s">
        <v>263</v>
      </c>
      <c r="E509" t="s">
        <v>907</v>
      </c>
      <c r="F509">
        <v>2090</v>
      </c>
      <c r="G509" t="s">
        <v>1275</v>
      </c>
      <c r="H509" t="s">
        <v>1318</v>
      </c>
      <c r="I509" t="s">
        <v>1369</v>
      </c>
      <c r="K509" t="s">
        <v>1438</v>
      </c>
      <c r="L509">
        <v>2</v>
      </c>
      <c r="M509">
        <v>1</v>
      </c>
      <c r="N509">
        <v>0</v>
      </c>
      <c r="P509">
        <v>34800</v>
      </c>
      <c r="Q509">
        <v>10314</v>
      </c>
      <c r="R509" t="s">
        <v>1448</v>
      </c>
      <c r="S509" t="s">
        <v>1454</v>
      </c>
      <c r="T509" t="s">
        <v>1452</v>
      </c>
      <c r="U509" t="s">
        <v>1478</v>
      </c>
      <c r="V509" t="s">
        <v>1473</v>
      </c>
      <c r="W509" t="s">
        <v>1492</v>
      </c>
      <c r="Y509" t="s">
        <v>1498</v>
      </c>
      <c r="AA509" t="s">
        <v>1501</v>
      </c>
      <c r="AC509">
        <v>0</v>
      </c>
      <c r="AD509">
        <v>0</v>
      </c>
      <c r="AF509">
        <v>0</v>
      </c>
      <c r="AG509">
        <v>0</v>
      </c>
      <c r="AH509">
        <v>0</v>
      </c>
      <c r="AI509">
        <v>0</v>
      </c>
    </row>
    <row r="510" spans="1:35">
      <c r="A510" s="1">
        <f>HYPERLINK("https://lsnyc.legalserver.org/matter/dynamic-profile/view/0803424","16-0803424")</f>
        <v>0</v>
      </c>
      <c r="B510" t="s">
        <v>38</v>
      </c>
      <c r="C510" t="s">
        <v>44</v>
      </c>
      <c r="D510" t="s">
        <v>467</v>
      </c>
      <c r="E510" t="s">
        <v>697</v>
      </c>
      <c r="F510">
        <v>2090</v>
      </c>
      <c r="G510" t="s">
        <v>1276</v>
      </c>
      <c r="H510" t="s">
        <v>1318</v>
      </c>
      <c r="I510" t="s">
        <v>1383</v>
      </c>
      <c r="K510" t="s">
        <v>1438</v>
      </c>
      <c r="L510">
        <v>4</v>
      </c>
      <c r="M510">
        <v>4</v>
      </c>
      <c r="N510">
        <v>0</v>
      </c>
      <c r="O510" t="s">
        <v>1440</v>
      </c>
      <c r="P510">
        <v>21288</v>
      </c>
      <c r="Q510">
        <v>10308</v>
      </c>
      <c r="R510" t="s">
        <v>1448</v>
      </c>
      <c r="S510" t="s">
        <v>1464</v>
      </c>
      <c r="U510" t="s">
        <v>1473</v>
      </c>
      <c r="V510" t="s">
        <v>1472</v>
      </c>
      <c r="Y510" t="s">
        <v>1510</v>
      </c>
      <c r="AA510" t="s">
        <v>1502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</row>
    <row r="511" spans="1:35">
      <c r="A511" s="1">
        <f>HYPERLINK("https://lsnyc.legalserver.org/matter/dynamic-profile/view/0815139","16-0815139")</f>
        <v>0</v>
      </c>
      <c r="B511" t="s">
        <v>37</v>
      </c>
      <c r="C511" t="s">
        <v>50</v>
      </c>
      <c r="D511" t="s">
        <v>272</v>
      </c>
      <c r="E511" t="s">
        <v>908</v>
      </c>
      <c r="F511">
        <v>2091</v>
      </c>
      <c r="G511" t="s">
        <v>1021</v>
      </c>
      <c r="H511" t="s">
        <v>1313</v>
      </c>
      <c r="I511" t="s">
        <v>1340</v>
      </c>
      <c r="K511" t="s">
        <v>1438</v>
      </c>
      <c r="L511">
        <v>1</v>
      </c>
      <c r="M511">
        <v>2</v>
      </c>
      <c r="N511">
        <v>0</v>
      </c>
      <c r="O511" t="s">
        <v>1440</v>
      </c>
      <c r="P511">
        <v>13200</v>
      </c>
      <c r="Q511">
        <v>11229</v>
      </c>
      <c r="R511" t="s">
        <v>1447</v>
      </c>
      <c r="S511" t="s">
        <v>1458</v>
      </c>
      <c r="T511" t="s">
        <v>1454</v>
      </c>
      <c r="U511" t="s">
        <v>1478</v>
      </c>
      <c r="V511" t="s">
        <v>1470</v>
      </c>
      <c r="Y511" t="s">
        <v>1501</v>
      </c>
      <c r="AA511" t="s">
        <v>1498</v>
      </c>
      <c r="AC511">
        <v>0</v>
      </c>
      <c r="AD511">
        <v>0</v>
      </c>
      <c r="AF511">
        <v>0</v>
      </c>
      <c r="AG511">
        <v>0</v>
      </c>
      <c r="AH511">
        <v>0</v>
      </c>
      <c r="AI511">
        <v>0</v>
      </c>
    </row>
    <row r="512" spans="1:35">
      <c r="A512" s="1">
        <f>HYPERLINK("https://lsnyc.legalserver.org/matter/dynamic-profile/view/0818191","16-0818191")</f>
        <v>0</v>
      </c>
      <c r="B512" t="s">
        <v>36</v>
      </c>
      <c r="C512" t="s">
        <v>49</v>
      </c>
      <c r="D512" t="s">
        <v>349</v>
      </c>
      <c r="E512" t="s">
        <v>909</v>
      </c>
      <c r="F512">
        <v>2093</v>
      </c>
      <c r="G512" t="s">
        <v>1277</v>
      </c>
      <c r="H512" t="s">
        <v>1323</v>
      </c>
      <c r="K512" t="s">
        <v>1438</v>
      </c>
      <c r="L512">
        <v>1</v>
      </c>
      <c r="M512">
        <v>0</v>
      </c>
      <c r="N512">
        <v>1</v>
      </c>
      <c r="O512" t="s">
        <v>1443</v>
      </c>
      <c r="P512">
        <v>7872</v>
      </c>
      <c r="Q512">
        <v>11355</v>
      </c>
      <c r="R512" t="s">
        <v>1446</v>
      </c>
      <c r="S512" t="s">
        <v>1456</v>
      </c>
      <c r="U512" t="s">
        <v>1475</v>
      </c>
      <c r="V512" t="s">
        <v>1478</v>
      </c>
      <c r="Y512" t="s">
        <v>1498</v>
      </c>
      <c r="AA512" t="s">
        <v>1502</v>
      </c>
      <c r="AC512">
        <v>0</v>
      </c>
      <c r="AD512">
        <v>0</v>
      </c>
      <c r="AF512">
        <v>0</v>
      </c>
      <c r="AG512">
        <v>0</v>
      </c>
      <c r="AH512">
        <v>0</v>
      </c>
      <c r="AI512">
        <v>0</v>
      </c>
    </row>
    <row r="513" spans="1:35">
      <c r="A513" s="1">
        <f>HYPERLINK("https://lsnyc.legalserver.org/matter/dynamic-profile/view/0819440","16-0819440")</f>
        <v>0</v>
      </c>
      <c r="B513" t="s">
        <v>38</v>
      </c>
      <c r="C513" t="s">
        <v>63</v>
      </c>
      <c r="D513" t="s">
        <v>468</v>
      </c>
      <c r="E513" t="s">
        <v>910</v>
      </c>
      <c r="F513">
        <v>2090</v>
      </c>
      <c r="G513" t="s">
        <v>1278</v>
      </c>
      <c r="H513" t="s">
        <v>1309</v>
      </c>
      <c r="I513" t="s">
        <v>1347</v>
      </c>
      <c r="K513" t="s">
        <v>1438</v>
      </c>
      <c r="L513">
        <v>3</v>
      </c>
      <c r="M513">
        <v>0</v>
      </c>
      <c r="N513">
        <v>0</v>
      </c>
      <c r="O513" t="s">
        <v>1440</v>
      </c>
      <c r="P513">
        <v>10608</v>
      </c>
      <c r="Q513">
        <v>10309</v>
      </c>
      <c r="R513" t="s">
        <v>1448</v>
      </c>
      <c r="S513" t="s">
        <v>1455</v>
      </c>
      <c r="U513" t="s">
        <v>1470</v>
      </c>
      <c r="Y513" t="s">
        <v>1498</v>
      </c>
      <c r="AC513">
        <v>0</v>
      </c>
      <c r="AD513">
        <v>0</v>
      </c>
      <c r="AF513">
        <v>0</v>
      </c>
      <c r="AG513">
        <v>0</v>
      </c>
      <c r="AH513">
        <v>0</v>
      </c>
      <c r="AI513">
        <v>0</v>
      </c>
    </row>
    <row r="514" spans="1:35">
      <c r="A514" s="1">
        <f>HYPERLINK("https://lsnyc.legalserver.org/matter/dynamic-profile/view/0827887","17-0827887")</f>
        <v>0</v>
      </c>
      <c r="B514" t="s">
        <v>38</v>
      </c>
      <c r="C514" t="s">
        <v>44</v>
      </c>
      <c r="D514" t="s">
        <v>469</v>
      </c>
      <c r="E514" t="s">
        <v>911</v>
      </c>
      <c r="F514">
        <v>2090</v>
      </c>
      <c r="G514" t="s">
        <v>1279</v>
      </c>
      <c r="H514" t="s">
        <v>1188</v>
      </c>
      <c r="I514" t="s">
        <v>1371</v>
      </c>
      <c r="K514" t="s">
        <v>1438</v>
      </c>
      <c r="L514">
        <v>2</v>
      </c>
      <c r="M514">
        <v>0</v>
      </c>
      <c r="N514">
        <v>0</v>
      </c>
      <c r="O514" t="s">
        <v>1439</v>
      </c>
      <c r="P514">
        <v>28200</v>
      </c>
      <c r="Q514">
        <v>10314</v>
      </c>
      <c r="R514" t="s">
        <v>1448</v>
      </c>
      <c r="S514" t="s">
        <v>1465</v>
      </c>
      <c r="U514" t="s">
        <v>1472</v>
      </c>
      <c r="Y514" t="s">
        <v>1502</v>
      </c>
      <c r="AC514">
        <v>0</v>
      </c>
      <c r="AD514">
        <v>0</v>
      </c>
      <c r="AF514">
        <v>0</v>
      </c>
      <c r="AG514">
        <v>0</v>
      </c>
      <c r="AH514">
        <v>0</v>
      </c>
      <c r="AI514">
        <v>0</v>
      </c>
    </row>
    <row r="515" spans="1:35">
      <c r="A515" s="1">
        <f>HYPERLINK("https://lsnyc.legalserver.org/matter/dynamic-profile/view/0827318","17-0827318")</f>
        <v>0</v>
      </c>
      <c r="B515" t="s">
        <v>38</v>
      </c>
      <c r="C515" t="s">
        <v>53</v>
      </c>
      <c r="D515" t="s">
        <v>469</v>
      </c>
      <c r="E515" t="s">
        <v>912</v>
      </c>
      <c r="F515">
        <v>2090</v>
      </c>
      <c r="G515" t="s">
        <v>1280</v>
      </c>
      <c r="H515" t="s">
        <v>1321</v>
      </c>
      <c r="I515" t="s">
        <v>1352</v>
      </c>
      <c r="K515" t="s">
        <v>1438</v>
      </c>
      <c r="L515">
        <v>2</v>
      </c>
      <c r="M515">
        <v>2</v>
      </c>
      <c r="N515">
        <v>0</v>
      </c>
      <c r="O515" t="s">
        <v>1440</v>
      </c>
      <c r="P515">
        <v>25000</v>
      </c>
      <c r="Q515">
        <v>10306</v>
      </c>
      <c r="R515" t="s">
        <v>1448</v>
      </c>
      <c r="S515" t="s">
        <v>1454</v>
      </c>
      <c r="U515" t="s">
        <v>1478</v>
      </c>
      <c r="V515" t="s">
        <v>1472</v>
      </c>
      <c r="W515" t="s">
        <v>1493</v>
      </c>
      <c r="Y515" t="s">
        <v>1509</v>
      </c>
      <c r="AA515" t="s">
        <v>1514</v>
      </c>
      <c r="AC515">
        <v>0</v>
      </c>
      <c r="AD515">
        <v>0</v>
      </c>
      <c r="AF515">
        <v>0</v>
      </c>
      <c r="AG515">
        <v>0</v>
      </c>
      <c r="AH515">
        <v>0</v>
      </c>
      <c r="AI515">
        <v>0</v>
      </c>
    </row>
    <row r="516" spans="1:35">
      <c r="A516" s="1">
        <f>HYPERLINK("https://lsnyc.legalserver.org/matter/dynamic-profile/view/1838670","17-1838670")</f>
        <v>0</v>
      </c>
      <c r="B516" t="s">
        <v>38</v>
      </c>
      <c r="C516" t="s">
        <v>44</v>
      </c>
      <c r="D516" t="s">
        <v>470</v>
      </c>
      <c r="E516" t="s">
        <v>894</v>
      </c>
      <c r="F516">
        <v>2090</v>
      </c>
      <c r="G516" t="s">
        <v>1281</v>
      </c>
      <c r="H516" t="s">
        <v>1316</v>
      </c>
      <c r="I516" t="s">
        <v>1340</v>
      </c>
      <c r="K516" t="s">
        <v>1438</v>
      </c>
      <c r="L516">
        <v>4</v>
      </c>
      <c r="M516">
        <v>0</v>
      </c>
      <c r="N516">
        <v>0</v>
      </c>
      <c r="O516" t="s">
        <v>1441</v>
      </c>
      <c r="P516">
        <v>50000</v>
      </c>
      <c r="Q516">
        <v>10306</v>
      </c>
      <c r="R516" t="s">
        <v>1448</v>
      </c>
      <c r="S516" t="s">
        <v>1469</v>
      </c>
      <c r="U516" t="s">
        <v>1473</v>
      </c>
      <c r="V516" t="s">
        <v>1474</v>
      </c>
      <c r="Y516" t="s">
        <v>1519</v>
      </c>
      <c r="AA516" t="s">
        <v>1498</v>
      </c>
      <c r="AC516">
        <v>0</v>
      </c>
      <c r="AD516">
        <v>0</v>
      </c>
      <c r="AF516">
        <v>0</v>
      </c>
      <c r="AG516">
        <v>0</v>
      </c>
      <c r="AH516">
        <v>0</v>
      </c>
      <c r="AI516">
        <v>0</v>
      </c>
    </row>
    <row r="517" spans="1:35">
      <c r="A517" s="1">
        <f>HYPERLINK("https://lsnyc.legalserver.org/matter/dynamic-profile/view/1840194","17-1840194")</f>
        <v>0</v>
      </c>
      <c r="B517" t="s">
        <v>38</v>
      </c>
      <c r="C517" t="s">
        <v>44</v>
      </c>
      <c r="D517" t="s">
        <v>221</v>
      </c>
      <c r="E517" t="s">
        <v>913</v>
      </c>
      <c r="F517">
        <v>2090</v>
      </c>
      <c r="G517" t="s">
        <v>1282</v>
      </c>
      <c r="H517" t="s">
        <v>1188</v>
      </c>
      <c r="I517" t="s">
        <v>1363</v>
      </c>
      <c r="K517" t="s">
        <v>1438</v>
      </c>
      <c r="L517">
        <v>2</v>
      </c>
      <c r="M517">
        <v>3</v>
      </c>
      <c r="N517">
        <v>1</v>
      </c>
      <c r="O517" t="s">
        <v>1440</v>
      </c>
      <c r="P517">
        <v>48452</v>
      </c>
      <c r="Q517">
        <v>10306</v>
      </c>
      <c r="R517" t="s">
        <v>1448</v>
      </c>
      <c r="S517" t="s">
        <v>1458</v>
      </c>
      <c r="T517" t="s">
        <v>1454</v>
      </c>
      <c r="U517" t="s">
        <v>1473</v>
      </c>
      <c r="V517" t="s">
        <v>1471</v>
      </c>
      <c r="W517" t="s">
        <v>1494</v>
      </c>
      <c r="Y517" t="s">
        <v>1498</v>
      </c>
      <c r="AC517">
        <v>0</v>
      </c>
      <c r="AD517">
        <v>0</v>
      </c>
      <c r="AF517">
        <v>0</v>
      </c>
      <c r="AG517">
        <v>0</v>
      </c>
      <c r="AH517">
        <v>0</v>
      </c>
      <c r="AI517">
        <v>0</v>
      </c>
    </row>
    <row r="518" spans="1:35">
      <c r="A518" s="1">
        <f>HYPERLINK("https://lsnyc.legalserver.org/matter/dynamic-profile/view/1845128","17-1845128")</f>
        <v>0</v>
      </c>
      <c r="B518" t="s">
        <v>37</v>
      </c>
      <c r="C518" t="s">
        <v>54</v>
      </c>
      <c r="D518" t="s">
        <v>471</v>
      </c>
      <c r="E518" t="s">
        <v>914</v>
      </c>
      <c r="F518">
        <v>2091</v>
      </c>
      <c r="G518" t="s">
        <v>1283</v>
      </c>
      <c r="H518" t="s">
        <v>1321</v>
      </c>
      <c r="K518" t="s">
        <v>1438</v>
      </c>
      <c r="L518">
        <v>2</v>
      </c>
      <c r="M518">
        <v>8</v>
      </c>
      <c r="N518">
        <v>0</v>
      </c>
      <c r="P518">
        <v>195000</v>
      </c>
      <c r="Q518">
        <v>11218</v>
      </c>
      <c r="R518" t="s">
        <v>1447</v>
      </c>
      <c r="S518" t="s">
        <v>1452</v>
      </c>
      <c r="U518" t="s">
        <v>1473</v>
      </c>
      <c r="V518" t="s">
        <v>1474</v>
      </c>
      <c r="Y518" t="s">
        <v>1498</v>
      </c>
      <c r="AC518">
        <v>0</v>
      </c>
      <c r="AD518">
        <v>0</v>
      </c>
      <c r="AF518">
        <v>0</v>
      </c>
      <c r="AG518">
        <v>0</v>
      </c>
      <c r="AH518">
        <v>0</v>
      </c>
      <c r="AI518">
        <v>0</v>
      </c>
    </row>
    <row r="519" spans="1:35">
      <c r="A519" s="1">
        <f>HYPERLINK("https://lsnyc.legalserver.org/matter/dynamic-profile/view/1849364","17-1849364")</f>
        <v>0</v>
      </c>
      <c r="B519" t="s">
        <v>38</v>
      </c>
      <c r="C519" t="s">
        <v>45</v>
      </c>
      <c r="D519" t="s">
        <v>472</v>
      </c>
      <c r="E519" t="s">
        <v>915</v>
      </c>
      <c r="F519">
        <v>2090</v>
      </c>
      <c r="G519" t="s">
        <v>1284</v>
      </c>
      <c r="H519" t="s">
        <v>1259</v>
      </c>
      <c r="I519" t="s">
        <v>1331</v>
      </c>
      <c r="J519" t="s">
        <v>1421</v>
      </c>
      <c r="K519" t="s">
        <v>1438</v>
      </c>
      <c r="L519">
        <v>2</v>
      </c>
      <c r="M519">
        <v>0</v>
      </c>
      <c r="N519">
        <v>2</v>
      </c>
      <c r="P519">
        <v>41844</v>
      </c>
      <c r="Q519">
        <v>10308</v>
      </c>
      <c r="R519" t="s">
        <v>1448</v>
      </c>
      <c r="S519" t="s">
        <v>1460</v>
      </c>
      <c r="T519" t="s">
        <v>1457</v>
      </c>
      <c r="U519" t="s">
        <v>1474</v>
      </c>
      <c r="V519" t="s">
        <v>1475</v>
      </c>
      <c r="Y519" t="s">
        <v>1503</v>
      </c>
      <c r="AA519" t="s">
        <v>1498</v>
      </c>
      <c r="AC519">
        <v>0</v>
      </c>
      <c r="AD519">
        <v>0</v>
      </c>
      <c r="AF519">
        <v>0</v>
      </c>
      <c r="AG519">
        <v>0</v>
      </c>
      <c r="AH519">
        <v>0</v>
      </c>
      <c r="AI519">
        <v>0</v>
      </c>
    </row>
    <row r="520" spans="1:35">
      <c r="A520" s="1">
        <f>HYPERLINK("https://lsnyc.legalserver.org/matter/dynamic-profile/view/1858304","18-1858304")</f>
        <v>0</v>
      </c>
      <c r="B520" t="s">
        <v>36</v>
      </c>
      <c r="C520" t="s">
        <v>49</v>
      </c>
      <c r="D520" t="s">
        <v>473</v>
      </c>
      <c r="E520" t="s">
        <v>916</v>
      </c>
      <c r="F520">
        <v>2093</v>
      </c>
      <c r="G520" t="s">
        <v>1285</v>
      </c>
      <c r="H520" t="s">
        <v>1167</v>
      </c>
      <c r="I520" t="s">
        <v>1393</v>
      </c>
      <c r="J520" t="s">
        <v>1337</v>
      </c>
      <c r="K520" t="s">
        <v>1438</v>
      </c>
      <c r="L520">
        <v>4</v>
      </c>
      <c r="M520">
        <v>2</v>
      </c>
      <c r="N520">
        <v>2</v>
      </c>
      <c r="O520" t="s">
        <v>1441</v>
      </c>
      <c r="P520">
        <v>14112</v>
      </c>
      <c r="Q520">
        <v>11377</v>
      </c>
      <c r="R520" t="s">
        <v>1446</v>
      </c>
      <c r="S520" t="s">
        <v>1456</v>
      </c>
      <c r="T520" t="s">
        <v>1459</v>
      </c>
      <c r="U520" t="s">
        <v>1470</v>
      </c>
      <c r="Y520" t="s">
        <v>1498</v>
      </c>
      <c r="AC520">
        <v>0</v>
      </c>
      <c r="AD520">
        <v>0</v>
      </c>
      <c r="AF520">
        <v>0</v>
      </c>
      <c r="AG520">
        <v>0</v>
      </c>
      <c r="AH520">
        <v>0</v>
      </c>
      <c r="AI520">
        <v>0</v>
      </c>
    </row>
    <row r="521" spans="1:35">
      <c r="A521" s="1">
        <f>HYPERLINK("https://lsnyc.legalserver.org/matter/dynamic-profile/view/1858639","18-1858639")</f>
        <v>0</v>
      </c>
      <c r="B521" t="s">
        <v>36</v>
      </c>
      <c r="C521" t="s">
        <v>47</v>
      </c>
      <c r="D521" t="s">
        <v>128</v>
      </c>
      <c r="E521" t="s">
        <v>917</v>
      </c>
      <c r="F521">
        <v>2093</v>
      </c>
      <c r="G521" t="s">
        <v>1285</v>
      </c>
      <c r="H521" t="s">
        <v>1186</v>
      </c>
      <c r="I521" t="s">
        <v>1364</v>
      </c>
      <c r="K521" t="s">
        <v>1438</v>
      </c>
      <c r="L521">
        <v>1</v>
      </c>
      <c r="M521">
        <v>0</v>
      </c>
      <c r="N521">
        <v>1</v>
      </c>
      <c r="O521" t="s">
        <v>1442</v>
      </c>
      <c r="P521">
        <v>51912</v>
      </c>
      <c r="Q521">
        <v>11694</v>
      </c>
      <c r="R521" t="s">
        <v>1446</v>
      </c>
      <c r="S521" t="s">
        <v>1456</v>
      </c>
      <c r="T521" t="s">
        <v>1464</v>
      </c>
      <c r="U521" t="s">
        <v>1474</v>
      </c>
      <c r="V521" t="s">
        <v>1482</v>
      </c>
      <c r="Y521" t="s">
        <v>1501</v>
      </c>
      <c r="AA521" t="s">
        <v>1498</v>
      </c>
      <c r="AC521">
        <v>0</v>
      </c>
      <c r="AD521">
        <v>0</v>
      </c>
      <c r="AF521">
        <v>0</v>
      </c>
      <c r="AG521">
        <v>0</v>
      </c>
      <c r="AH521">
        <v>0</v>
      </c>
      <c r="AI521">
        <v>0</v>
      </c>
    </row>
    <row r="522" spans="1:35">
      <c r="A522" s="1">
        <f>HYPERLINK("https://lsnyc.legalserver.org/matter/dynamic-profile/view/1862217","18-1862217")</f>
        <v>0</v>
      </c>
      <c r="B522" t="s">
        <v>38</v>
      </c>
      <c r="C522" t="s">
        <v>48</v>
      </c>
      <c r="D522" t="s">
        <v>474</v>
      </c>
      <c r="E522" t="s">
        <v>918</v>
      </c>
      <c r="F522">
        <v>2090</v>
      </c>
      <c r="G522" t="s">
        <v>1286</v>
      </c>
      <c r="H522" t="s">
        <v>1186</v>
      </c>
      <c r="I522" t="s">
        <v>1428</v>
      </c>
      <c r="K522" t="s">
        <v>1438</v>
      </c>
      <c r="L522">
        <v>2</v>
      </c>
      <c r="M522">
        <v>0</v>
      </c>
      <c r="N522">
        <v>0</v>
      </c>
      <c r="P522">
        <v>34724</v>
      </c>
      <c r="Q522">
        <v>10312</v>
      </c>
      <c r="R522" t="s">
        <v>1448</v>
      </c>
      <c r="S522" t="s">
        <v>1453</v>
      </c>
      <c r="U522" t="s">
        <v>1478</v>
      </c>
      <c r="Y522" t="s">
        <v>1509</v>
      </c>
      <c r="AC522">
        <v>0</v>
      </c>
      <c r="AD522">
        <v>0</v>
      </c>
      <c r="AF522">
        <v>0</v>
      </c>
      <c r="AG522">
        <v>0</v>
      </c>
      <c r="AH522">
        <v>0</v>
      </c>
      <c r="AI522">
        <v>0</v>
      </c>
    </row>
    <row r="523" spans="1:35">
      <c r="A523" s="1">
        <f>HYPERLINK("https://lsnyc.legalserver.org/matter/dynamic-profile/view/1871374","18-1871374")</f>
        <v>0</v>
      </c>
      <c r="B523" t="s">
        <v>36</v>
      </c>
      <c r="C523" t="s">
        <v>47</v>
      </c>
      <c r="D523" t="s">
        <v>218</v>
      </c>
      <c r="E523" t="s">
        <v>919</v>
      </c>
      <c r="F523">
        <v>2093</v>
      </c>
      <c r="G523" t="s">
        <v>1104</v>
      </c>
      <c r="H523" t="s">
        <v>1317</v>
      </c>
      <c r="I523" t="s">
        <v>1350</v>
      </c>
      <c r="K523" t="s">
        <v>1438</v>
      </c>
      <c r="L523">
        <v>2</v>
      </c>
      <c r="M523">
        <v>0</v>
      </c>
      <c r="N523">
        <v>1</v>
      </c>
      <c r="O523" t="s">
        <v>1440</v>
      </c>
      <c r="P523">
        <v>66000</v>
      </c>
      <c r="Q523">
        <v>11693</v>
      </c>
      <c r="R523" t="s">
        <v>1446</v>
      </c>
      <c r="S523" t="s">
        <v>1452</v>
      </c>
      <c r="U523" t="s">
        <v>1471</v>
      </c>
      <c r="W523" t="s">
        <v>1492</v>
      </c>
      <c r="AC523">
        <v>0</v>
      </c>
      <c r="AD523">
        <v>0</v>
      </c>
      <c r="AF523">
        <v>0</v>
      </c>
      <c r="AG523">
        <v>0</v>
      </c>
      <c r="AH523">
        <v>0</v>
      </c>
      <c r="AI523">
        <v>0</v>
      </c>
    </row>
    <row r="524" spans="1:35">
      <c r="A524" s="1">
        <f>HYPERLINK("https://lsnyc.legalserver.org/matter/dynamic-profile/view/1870156","18-1870156")</f>
        <v>0</v>
      </c>
      <c r="B524" t="s">
        <v>38</v>
      </c>
      <c r="C524" t="s">
        <v>53</v>
      </c>
      <c r="D524" t="s">
        <v>131</v>
      </c>
      <c r="E524" t="s">
        <v>556</v>
      </c>
      <c r="F524">
        <v>2090</v>
      </c>
      <c r="G524" t="s">
        <v>1287</v>
      </c>
      <c r="H524" t="s">
        <v>1188</v>
      </c>
      <c r="I524" t="s">
        <v>1353</v>
      </c>
      <c r="K524" t="s">
        <v>1438</v>
      </c>
      <c r="L524">
        <v>1</v>
      </c>
      <c r="M524">
        <v>0</v>
      </c>
      <c r="N524">
        <v>0</v>
      </c>
      <c r="P524">
        <v>11940</v>
      </c>
      <c r="Q524">
        <v>10312</v>
      </c>
      <c r="R524" t="s">
        <v>1448</v>
      </c>
      <c r="S524" t="s">
        <v>1458</v>
      </c>
      <c r="U524" t="s">
        <v>1478</v>
      </c>
      <c r="AC524">
        <v>0</v>
      </c>
      <c r="AD524">
        <v>0</v>
      </c>
      <c r="AF524">
        <v>0</v>
      </c>
      <c r="AG524">
        <v>0</v>
      </c>
      <c r="AH524">
        <v>0</v>
      </c>
      <c r="AI524">
        <v>0</v>
      </c>
    </row>
    <row r="525" spans="1:35">
      <c r="A525" s="1">
        <f>HYPERLINK("https://lsnyc.legalserver.org/matter/dynamic-profile/view/1872803","18-1872803")</f>
        <v>0</v>
      </c>
      <c r="B525" t="s">
        <v>38</v>
      </c>
      <c r="C525" t="s">
        <v>48</v>
      </c>
      <c r="D525" t="s">
        <v>474</v>
      </c>
      <c r="E525" t="s">
        <v>918</v>
      </c>
      <c r="F525">
        <v>2090</v>
      </c>
      <c r="G525" t="s">
        <v>1288</v>
      </c>
      <c r="H525" t="s">
        <v>1186</v>
      </c>
      <c r="I525" t="s">
        <v>1428</v>
      </c>
      <c r="K525" t="s">
        <v>1438</v>
      </c>
      <c r="L525">
        <v>2</v>
      </c>
      <c r="M525">
        <v>0</v>
      </c>
      <c r="N525">
        <v>0</v>
      </c>
      <c r="P525">
        <v>34724</v>
      </c>
      <c r="Q525">
        <v>10312</v>
      </c>
      <c r="R525" t="s">
        <v>1448</v>
      </c>
      <c r="S525" t="s">
        <v>1466</v>
      </c>
      <c r="U525" t="s">
        <v>1480</v>
      </c>
      <c r="AC525">
        <v>0</v>
      </c>
      <c r="AD525">
        <v>0</v>
      </c>
      <c r="AF525">
        <v>0</v>
      </c>
      <c r="AG525">
        <v>0</v>
      </c>
      <c r="AH525">
        <v>0</v>
      </c>
      <c r="AI525">
        <v>0</v>
      </c>
    </row>
    <row r="526" spans="1:35">
      <c r="A526" s="1">
        <f>HYPERLINK("https://lsnyc.legalserver.org/matter/dynamic-profile/view/1873668","18-1873668")</f>
        <v>0</v>
      </c>
      <c r="B526" t="s">
        <v>38</v>
      </c>
      <c r="C526" t="s">
        <v>53</v>
      </c>
      <c r="D526" t="s">
        <v>475</v>
      </c>
      <c r="E526" t="s">
        <v>920</v>
      </c>
      <c r="F526">
        <v>2090</v>
      </c>
      <c r="G526" t="s">
        <v>1289</v>
      </c>
      <c r="H526" t="s">
        <v>1188</v>
      </c>
      <c r="I526" t="s">
        <v>1369</v>
      </c>
      <c r="K526" t="s">
        <v>1438</v>
      </c>
      <c r="L526">
        <v>3</v>
      </c>
      <c r="M526">
        <v>2</v>
      </c>
      <c r="N526">
        <v>0</v>
      </c>
      <c r="O526" t="s">
        <v>1440</v>
      </c>
      <c r="P526">
        <v>56399</v>
      </c>
      <c r="Q526">
        <v>10312</v>
      </c>
      <c r="R526" t="s">
        <v>1448</v>
      </c>
      <c r="S526" t="s">
        <v>1456</v>
      </c>
      <c r="U526" t="s">
        <v>1474</v>
      </c>
      <c r="AC526">
        <v>0</v>
      </c>
      <c r="AD526">
        <v>0</v>
      </c>
      <c r="AF526">
        <v>0</v>
      </c>
      <c r="AG526">
        <v>0</v>
      </c>
      <c r="AH526">
        <v>0</v>
      </c>
      <c r="AI526">
        <v>0</v>
      </c>
    </row>
    <row r="527" spans="1:35">
      <c r="A527" s="1">
        <f>HYPERLINK("https://lsnyc.legalserver.org/matter/dynamic-profile/view/1873885","18-1873885")</f>
        <v>0</v>
      </c>
      <c r="B527" t="s">
        <v>38</v>
      </c>
      <c r="C527" t="s">
        <v>44</v>
      </c>
      <c r="D527" t="s">
        <v>188</v>
      </c>
      <c r="E527" t="s">
        <v>921</v>
      </c>
      <c r="F527">
        <v>2090</v>
      </c>
      <c r="G527" t="s">
        <v>1290</v>
      </c>
      <c r="H527" t="s">
        <v>1318</v>
      </c>
      <c r="I527" t="s">
        <v>1369</v>
      </c>
      <c r="K527" t="s">
        <v>1438</v>
      </c>
      <c r="L527">
        <v>2</v>
      </c>
      <c r="M527">
        <v>3</v>
      </c>
      <c r="N527">
        <v>1</v>
      </c>
      <c r="O527" t="s">
        <v>1441</v>
      </c>
      <c r="P527">
        <v>90232</v>
      </c>
      <c r="Q527">
        <v>10306</v>
      </c>
      <c r="R527" t="s">
        <v>1448</v>
      </c>
      <c r="S527" t="s">
        <v>1452</v>
      </c>
      <c r="T527" t="s">
        <v>1454</v>
      </c>
      <c r="U527" t="s">
        <v>1470</v>
      </c>
      <c r="V527" t="s">
        <v>1474</v>
      </c>
      <c r="AC527">
        <v>0</v>
      </c>
      <c r="AD527">
        <v>0</v>
      </c>
      <c r="AF527">
        <v>0</v>
      </c>
      <c r="AG527">
        <v>0</v>
      </c>
      <c r="AH527">
        <v>0</v>
      </c>
      <c r="AI527">
        <v>0</v>
      </c>
    </row>
    <row r="528" spans="1:35">
      <c r="A528" s="1">
        <f>HYPERLINK("https://lsnyc.legalserver.org/matter/dynamic-profile/view/1873688","18-1873688")</f>
        <v>0</v>
      </c>
      <c r="B528" t="s">
        <v>38</v>
      </c>
      <c r="C528" t="s">
        <v>44</v>
      </c>
      <c r="D528" t="s">
        <v>476</v>
      </c>
      <c r="E528" t="s">
        <v>692</v>
      </c>
      <c r="F528">
        <v>2090</v>
      </c>
      <c r="G528" t="s">
        <v>1291</v>
      </c>
      <c r="H528" t="s">
        <v>1188</v>
      </c>
      <c r="I528" t="s">
        <v>1334</v>
      </c>
      <c r="K528" t="s">
        <v>1438</v>
      </c>
      <c r="L528">
        <v>1</v>
      </c>
      <c r="M528">
        <v>0</v>
      </c>
      <c r="N528">
        <v>0</v>
      </c>
      <c r="P528">
        <v>9600</v>
      </c>
      <c r="Q528">
        <v>10314</v>
      </c>
      <c r="R528" t="s">
        <v>1448</v>
      </c>
      <c r="S528" t="s">
        <v>1453</v>
      </c>
      <c r="T528" t="s">
        <v>1463</v>
      </c>
      <c r="U528" t="s">
        <v>1472</v>
      </c>
      <c r="V528" t="s">
        <v>1474</v>
      </c>
      <c r="AC528">
        <v>0</v>
      </c>
      <c r="AD528">
        <v>0</v>
      </c>
      <c r="AF528">
        <v>0</v>
      </c>
      <c r="AG528">
        <v>0</v>
      </c>
      <c r="AH528">
        <v>0</v>
      </c>
      <c r="AI528">
        <v>0</v>
      </c>
    </row>
    <row r="529" spans="1:35">
      <c r="A529" s="1">
        <f>HYPERLINK("https://lsnyc.legalserver.org/matter/dynamic-profile/view/1874921","18-1874921")</f>
        <v>0</v>
      </c>
      <c r="B529" t="s">
        <v>38</v>
      </c>
      <c r="C529" t="s">
        <v>53</v>
      </c>
      <c r="D529" t="s">
        <v>477</v>
      </c>
      <c r="E529" t="s">
        <v>922</v>
      </c>
      <c r="F529">
        <v>2090</v>
      </c>
      <c r="G529" t="s">
        <v>1291</v>
      </c>
      <c r="H529" t="s">
        <v>1321</v>
      </c>
      <c r="I529" t="s">
        <v>1347</v>
      </c>
      <c r="K529" t="s">
        <v>1438</v>
      </c>
      <c r="L529">
        <v>2</v>
      </c>
      <c r="M529">
        <v>0</v>
      </c>
      <c r="N529">
        <v>0</v>
      </c>
      <c r="P529">
        <v>18000</v>
      </c>
      <c r="Q529">
        <v>10314</v>
      </c>
      <c r="R529" t="s">
        <v>1448</v>
      </c>
      <c r="S529" t="s">
        <v>1454</v>
      </c>
      <c r="T529" t="s">
        <v>1452</v>
      </c>
      <c r="U529" t="s">
        <v>1475</v>
      </c>
      <c r="V529" t="s">
        <v>1478</v>
      </c>
      <c r="W529" t="s">
        <v>1492</v>
      </c>
      <c r="Y529" t="s">
        <v>1502</v>
      </c>
      <c r="AC529">
        <v>0</v>
      </c>
      <c r="AD529">
        <v>0</v>
      </c>
      <c r="AF529">
        <v>0</v>
      </c>
      <c r="AG529">
        <v>0</v>
      </c>
      <c r="AH529">
        <v>0</v>
      </c>
      <c r="AI529">
        <v>0</v>
      </c>
    </row>
    <row r="530" spans="1:35">
      <c r="A530" s="1">
        <f>HYPERLINK("https://lsnyc.legalserver.org/matter/dynamic-profile/view/1875376","18-1875376")</f>
        <v>0</v>
      </c>
      <c r="B530" t="s">
        <v>36</v>
      </c>
      <c r="C530" t="s">
        <v>59</v>
      </c>
      <c r="D530" t="s">
        <v>478</v>
      </c>
      <c r="E530" t="s">
        <v>923</v>
      </c>
      <c r="F530">
        <v>2093</v>
      </c>
      <c r="G530" t="s">
        <v>1292</v>
      </c>
      <c r="H530" t="s">
        <v>990</v>
      </c>
      <c r="K530" t="s">
        <v>1438</v>
      </c>
      <c r="L530">
        <v>3</v>
      </c>
      <c r="M530">
        <v>2</v>
      </c>
      <c r="N530">
        <v>0</v>
      </c>
      <c r="P530">
        <v>86000</v>
      </c>
      <c r="Q530">
        <v>11385</v>
      </c>
      <c r="R530" t="s">
        <v>1446</v>
      </c>
      <c r="S530" t="s">
        <v>1456</v>
      </c>
      <c r="U530" t="s">
        <v>1472</v>
      </c>
      <c r="V530" t="s">
        <v>1473</v>
      </c>
      <c r="W530" t="s">
        <v>1490</v>
      </c>
      <c r="Y530" t="s">
        <v>1500</v>
      </c>
      <c r="AC530">
        <v>3502.26</v>
      </c>
      <c r="AD530">
        <v>0</v>
      </c>
      <c r="AF530">
        <v>0</v>
      </c>
      <c r="AG530">
        <v>0</v>
      </c>
      <c r="AH530">
        <v>0</v>
      </c>
      <c r="AI530">
        <v>0</v>
      </c>
    </row>
    <row r="531" spans="1:35">
      <c r="A531" s="1">
        <f>HYPERLINK("https://lsnyc.legalserver.org/matter/dynamic-profile/view/1877663","18-1877663")</f>
        <v>0</v>
      </c>
      <c r="B531" t="s">
        <v>38</v>
      </c>
      <c r="C531" t="s">
        <v>45</v>
      </c>
      <c r="D531" t="s">
        <v>479</v>
      </c>
      <c r="E531" t="s">
        <v>924</v>
      </c>
      <c r="F531">
        <v>2090</v>
      </c>
      <c r="G531" t="s">
        <v>1293</v>
      </c>
      <c r="H531" t="s">
        <v>1188</v>
      </c>
      <c r="I531" t="s">
        <v>1348</v>
      </c>
      <c r="K531" t="s">
        <v>1438</v>
      </c>
      <c r="L531">
        <v>3</v>
      </c>
      <c r="M531">
        <v>0</v>
      </c>
      <c r="N531">
        <v>1</v>
      </c>
      <c r="O531" t="s">
        <v>1440</v>
      </c>
      <c r="P531">
        <v>64400</v>
      </c>
      <c r="Q531">
        <v>10312</v>
      </c>
      <c r="R531" t="s">
        <v>1448</v>
      </c>
      <c r="S531" t="s">
        <v>1454</v>
      </c>
      <c r="U531" t="s">
        <v>1473</v>
      </c>
      <c r="V531" t="s">
        <v>1474</v>
      </c>
      <c r="AC531">
        <v>0</v>
      </c>
      <c r="AD531">
        <v>0</v>
      </c>
      <c r="AF531">
        <v>0</v>
      </c>
      <c r="AG531">
        <v>0</v>
      </c>
      <c r="AH531">
        <v>0</v>
      </c>
      <c r="AI531">
        <v>0</v>
      </c>
    </row>
    <row r="532" spans="1:35">
      <c r="A532" s="1">
        <f>HYPERLINK("https://lsnyc.legalserver.org/matter/dynamic-profile/view/1878825","18-1878825")</f>
        <v>0</v>
      </c>
      <c r="B532" t="s">
        <v>38</v>
      </c>
      <c r="C532" t="s">
        <v>48</v>
      </c>
      <c r="D532" t="s">
        <v>419</v>
      </c>
      <c r="E532" t="s">
        <v>925</v>
      </c>
      <c r="F532">
        <v>2090</v>
      </c>
      <c r="G532" t="s">
        <v>1294</v>
      </c>
      <c r="H532" t="s">
        <v>1188</v>
      </c>
      <c r="I532" t="s">
        <v>1338</v>
      </c>
      <c r="K532" t="s">
        <v>1438</v>
      </c>
      <c r="L532">
        <v>4</v>
      </c>
      <c r="M532">
        <v>2</v>
      </c>
      <c r="N532">
        <v>0</v>
      </c>
      <c r="P532">
        <v>10400</v>
      </c>
      <c r="Q532">
        <v>10312</v>
      </c>
      <c r="R532" t="s">
        <v>1448</v>
      </c>
      <c r="S532" t="s">
        <v>1454</v>
      </c>
      <c r="T532" t="s">
        <v>1452</v>
      </c>
      <c r="U532" t="s">
        <v>1473</v>
      </c>
      <c r="V532" t="s">
        <v>1474</v>
      </c>
      <c r="Y532" t="s">
        <v>1502</v>
      </c>
      <c r="AC532">
        <v>0</v>
      </c>
      <c r="AD532">
        <v>0</v>
      </c>
      <c r="AF532">
        <v>0</v>
      </c>
      <c r="AG532">
        <v>0</v>
      </c>
      <c r="AH532">
        <v>0</v>
      </c>
      <c r="AI532">
        <v>0</v>
      </c>
    </row>
    <row r="533" spans="1:35">
      <c r="A533" s="1">
        <f>HYPERLINK("https://lsnyc.legalserver.org/matter/dynamic-profile/view/1879643","18-1879643")</f>
        <v>0</v>
      </c>
      <c r="B533" t="s">
        <v>36</v>
      </c>
      <c r="C533" t="s">
        <v>59</v>
      </c>
      <c r="D533" t="s">
        <v>123</v>
      </c>
      <c r="E533" t="s">
        <v>926</v>
      </c>
      <c r="F533">
        <v>2093</v>
      </c>
      <c r="G533" t="s">
        <v>1294</v>
      </c>
      <c r="H533" t="s">
        <v>1252</v>
      </c>
      <c r="K533" t="s">
        <v>1438</v>
      </c>
      <c r="L533">
        <v>2</v>
      </c>
      <c r="M533">
        <v>1</v>
      </c>
      <c r="N533">
        <v>0</v>
      </c>
      <c r="P533">
        <v>60000</v>
      </c>
      <c r="Q533">
        <v>11370</v>
      </c>
      <c r="R533" t="s">
        <v>1446</v>
      </c>
      <c r="S533" t="s">
        <v>1454</v>
      </c>
      <c r="U533" t="s">
        <v>1473</v>
      </c>
      <c r="V533" t="s">
        <v>1472</v>
      </c>
      <c r="W533" t="s">
        <v>1490</v>
      </c>
      <c r="Y533" t="s">
        <v>1500</v>
      </c>
      <c r="AC533">
        <v>2840.26</v>
      </c>
      <c r="AD533">
        <v>0</v>
      </c>
      <c r="AF533">
        <v>0</v>
      </c>
      <c r="AG533">
        <v>0</v>
      </c>
      <c r="AH533">
        <v>0</v>
      </c>
      <c r="AI533">
        <v>0</v>
      </c>
    </row>
    <row r="534" spans="1:35">
      <c r="A534" s="1">
        <f>HYPERLINK("https://lsnyc.legalserver.org/matter/dynamic-profile/view/1883201","18-1883201")</f>
        <v>0</v>
      </c>
      <c r="B534" t="s">
        <v>38</v>
      </c>
      <c r="C534" t="s">
        <v>48</v>
      </c>
      <c r="D534" t="s">
        <v>480</v>
      </c>
      <c r="E534" t="s">
        <v>927</v>
      </c>
      <c r="F534">
        <v>2090</v>
      </c>
      <c r="G534" t="s">
        <v>1116</v>
      </c>
      <c r="H534" t="s">
        <v>989</v>
      </c>
      <c r="I534" t="s">
        <v>1330</v>
      </c>
      <c r="K534" t="s">
        <v>1438</v>
      </c>
      <c r="L534">
        <v>3</v>
      </c>
      <c r="M534">
        <v>2</v>
      </c>
      <c r="N534">
        <v>0</v>
      </c>
      <c r="P534">
        <v>88300</v>
      </c>
      <c r="Q534">
        <v>10312</v>
      </c>
      <c r="R534" t="s">
        <v>1448</v>
      </c>
      <c r="S534" t="s">
        <v>1463</v>
      </c>
      <c r="U534" t="s">
        <v>1471</v>
      </c>
      <c r="V534" t="s">
        <v>1473</v>
      </c>
      <c r="Y534" t="s">
        <v>1498</v>
      </c>
      <c r="AC534">
        <v>0</v>
      </c>
      <c r="AD534">
        <v>0</v>
      </c>
      <c r="AF534">
        <v>0</v>
      </c>
      <c r="AG534">
        <v>0</v>
      </c>
      <c r="AH534">
        <v>0</v>
      </c>
      <c r="AI534">
        <v>0</v>
      </c>
    </row>
    <row r="535" spans="1:35">
      <c r="A535" s="1">
        <f>HYPERLINK("https://lsnyc.legalserver.org/matter/dynamic-profile/view/1884398","18-1884398")</f>
        <v>0</v>
      </c>
      <c r="B535" t="s">
        <v>38</v>
      </c>
      <c r="C535" t="s">
        <v>44</v>
      </c>
      <c r="D535" t="s">
        <v>481</v>
      </c>
      <c r="E535" t="s">
        <v>928</v>
      </c>
      <c r="F535">
        <v>2090</v>
      </c>
      <c r="G535" t="s">
        <v>1295</v>
      </c>
      <c r="H535" t="s">
        <v>1318</v>
      </c>
      <c r="I535" t="s">
        <v>1358</v>
      </c>
      <c r="K535" t="s">
        <v>1438</v>
      </c>
      <c r="L535">
        <v>2</v>
      </c>
      <c r="M535">
        <v>3</v>
      </c>
      <c r="N535">
        <v>0</v>
      </c>
      <c r="P535">
        <v>100000</v>
      </c>
      <c r="Q535">
        <v>10307</v>
      </c>
      <c r="R535" t="s">
        <v>1448</v>
      </c>
      <c r="S535" t="s">
        <v>1454</v>
      </c>
      <c r="U535" t="s">
        <v>1474</v>
      </c>
      <c r="W535" t="s">
        <v>1497</v>
      </c>
      <c r="X535" t="s">
        <v>1490</v>
      </c>
      <c r="AC535">
        <v>0</v>
      </c>
      <c r="AD535">
        <v>153.02</v>
      </c>
      <c r="AF535">
        <v>0</v>
      </c>
      <c r="AG535">
        <v>0</v>
      </c>
      <c r="AH535">
        <v>0</v>
      </c>
      <c r="AI535">
        <v>0</v>
      </c>
    </row>
    <row r="536" spans="1:35">
      <c r="A536" s="1">
        <f>HYPERLINK("https://lsnyc.legalserver.org/matter/dynamic-profile/view/1884483","18-1884483")</f>
        <v>0</v>
      </c>
      <c r="B536" t="s">
        <v>38</v>
      </c>
      <c r="C536" t="s">
        <v>63</v>
      </c>
      <c r="D536" t="s">
        <v>362</v>
      </c>
      <c r="E536" t="s">
        <v>929</v>
      </c>
      <c r="F536">
        <v>2090</v>
      </c>
      <c r="G536" t="s">
        <v>1232</v>
      </c>
      <c r="H536" t="s">
        <v>1188</v>
      </c>
      <c r="I536" t="s">
        <v>1375</v>
      </c>
      <c r="K536" t="s">
        <v>1438</v>
      </c>
      <c r="L536">
        <v>2</v>
      </c>
      <c r="M536">
        <v>1</v>
      </c>
      <c r="N536">
        <v>0</v>
      </c>
      <c r="P536">
        <v>54000</v>
      </c>
      <c r="Q536">
        <v>10314</v>
      </c>
      <c r="R536" t="s">
        <v>1448</v>
      </c>
      <c r="S536" t="s">
        <v>1454</v>
      </c>
      <c r="U536" t="s">
        <v>1475</v>
      </c>
      <c r="AC536">
        <v>0</v>
      </c>
      <c r="AD536">
        <v>0</v>
      </c>
      <c r="AF536">
        <v>0</v>
      </c>
      <c r="AG536">
        <v>0</v>
      </c>
      <c r="AH536">
        <v>0</v>
      </c>
      <c r="AI536">
        <v>0</v>
      </c>
    </row>
    <row r="537" spans="1:35">
      <c r="A537" s="1">
        <f>HYPERLINK("https://lsnyc.legalserver.org/matter/dynamic-profile/view/1885627","18-1885627")</f>
        <v>0</v>
      </c>
      <c r="B537" t="s">
        <v>38</v>
      </c>
      <c r="C537" t="s">
        <v>44</v>
      </c>
      <c r="D537" t="s">
        <v>482</v>
      </c>
      <c r="E537" t="s">
        <v>930</v>
      </c>
      <c r="F537">
        <v>2090</v>
      </c>
      <c r="G537" t="s">
        <v>1232</v>
      </c>
      <c r="H537" t="s">
        <v>1313</v>
      </c>
      <c r="I537" t="s">
        <v>1338</v>
      </c>
      <c r="J537" t="s">
        <v>1434</v>
      </c>
      <c r="K537" t="s">
        <v>1438</v>
      </c>
      <c r="L537">
        <v>3</v>
      </c>
      <c r="M537">
        <v>1</v>
      </c>
      <c r="N537">
        <v>0</v>
      </c>
      <c r="O537" t="s">
        <v>1441</v>
      </c>
      <c r="P537">
        <v>19200</v>
      </c>
      <c r="Q537">
        <v>10312</v>
      </c>
      <c r="R537" t="s">
        <v>1448</v>
      </c>
      <c r="S537" t="s">
        <v>1455</v>
      </c>
      <c r="T537" t="s">
        <v>1460</v>
      </c>
      <c r="U537" t="s">
        <v>1472</v>
      </c>
      <c r="V537" t="s">
        <v>1471</v>
      </c>
      <c r="Y537" t="s">
        <v>1502</v>
      </c>
      <c r="AC537">
        <v>0</v>
      </c>
      <c r="AD537">
        <v>0</v>
      </c>
      <c r="AF537">
        <v>0</v>
      </c>
      <c r="AG537">
        <v>0</v>
      </c>
      <c r="AH537">
        <v>0</v>
      </c>
      <c r="AI537">
        <v>0</v>
      </c>
    </row>
    <row r="538" spans="1:35">
      <c r="A538" s="1">
        <f>HYPERLINK("https://lsnyc.legalserver.org/matter/dynamic-profile/view/1885818","18-1885818")</f>
        <v>0</v>
      </c>
      <c r="B538" t="s">
        <v>36</v>
      </c>
      <c r="C538" t="s">
        <v>55</v>
      </c>
      <c r="D538" t="s">
        <v>135</v>
      </c>
      <c r="E538" t="s">
        <v>931</v>
      </c>
      <c r="F538">
        <v>2093</v>
      </c>
      <c r="G538" t="s">
        <v>1233</v>
      </c>
      <c r="H538" t="s">
        <v>1188</v>
      </c>
      <c r="I538" t="s">
        <v>1353</v>
      </c>
      <c r="K538" t="s">
        <v>1438</v>
      </c>
      <c r="L538">
        <v>1</v>
      </c>
      <c r="M538">
        <v>0</v>
      </c>
      <c r="N538">
        <v>0</v>
      </c>
      <c r="O538" t="s">
        <v>1441</v>
      </c>
      <c r="P538">
        <v>26400</v>
      </c>
      <c r="Q538">
        <v>11378</v>
      </c>
      <c r="R538" t="s">
        <v>1446</v>
      </c>
      <c r="S538" t="s">
        <v>1453</v>
      </c>
      <c r="U538" t="s">
        <v>1473</v>
      </c>
      <c r="V538" t="s">
        <v>1470</v>
      </c>
      <c r="Y538" t="s">
        <v>1502</v>
      </c>
      <c r="AA538" t="s">
        <v>1498</v>
      </c>
      <c r="AC538">
        <v>0</v>
      </c>
      <c r="AD538">
        <v>0</v>
      </c>
      <c r="AF538">
        <v>0</v>
      </c>
      <c r="AG538">
        <v>0</v>
      </c>
      <c r="AH538">
        <v>0</v>
      </c>
      <c r="AI538">
        <v>0</v>
      </c>
    </row>
    <row r="539" spans="1:35">
      <c r="A539" s="1">
        <f>HYPERLINK("https://lsnyc.legalserver.org/matter/dynamic-profile/view/1885995","18-1885995")</f>
        <v>0</v>
      </c>
      <c r="B539" t="s">
        <v>35</v>
      </c>
      <c r="C539" t="s">
        <v>46</v>
      </c>
      <c r="D539" t="s">
        <v>483</v>
      </c>
      <c r="E539" t="s">
        <v>932</v>
      </c>
      <c r="F539">
        <v>2094</v>
      </c>
      <c r="G539" t="s">
        <v>1117</v>
      </c>
      <c r="H539" t="s">
        <v>1313</v>
      </c>
      <c r="I539" t="s">
        <v>1349</v>
      </c>
      <c r="K539" t="s">
        <v>1438</v>
      </c>
      <c r="L539">
        <v>4</v>
      </c>
      <c r="M539">
        <v>0</v>
      </c>
      <c r="N539">
        <v>0</v>
      </c>
      <c r="O539" t="s">
        <v>1441</v>
      </c>
      <c r="P539">
        <v>60000</v>
      </c>
      <c r="Q539">
        <v>10465</v>
      </c>
      <c r="R539" t="s">
        <v>1445</v>
      </c>
      <c r="S539" t="s">
        <v>1465</v>
      </c>
      <c r="U539" t="s">
        <v>1474</v>
      </c>
      <c r="V539" t="s">
        <v>1473</v>
      </c>
      <c r="Y539" t="s">
        <v>1514</v>
      </c>
      <c r="AC539">
        <v>0</v>
      </c>
      <c r="AD539">
        <v>0</v>
      </c>
      <c r="AF539">
        <v>0</v>
      </c>
      <c r="AG539">
        <v>0</v>
      </c>
      <c r="AH539">
        <v>0</v>
      </c>
      <c r="AI539">
        <v>0</v>
      </c>
    </row>
    <row r="540" spans="1:35">
      <c r="A540" s="1">
        <f>HYPERLINK("https://lsnyc.legalserver.org/matter/dynamic-profile/view/1886613","18-1886613")</f>
        <v>0</v>
      </c>
      <c r="B540" t="s">
        <v>38</v>
      </c>
      <c r="C540" t="s">
        <v>44</v>
      </c>
      <c r="D540" t="s">
        <v>137</v>
      </c>
      <c r="E540" t="s">
        <v>933</v>
      </c>
      <c r="F540">
        <v>2090</v>
      </c>
      <c r="G540" t="s">
        <v>1296</v>
      </c>
      <c r="H540" t="s">
        <v>1188</v>
      </c>
      <c r="I540" t="s">
        <v>1337</v>
      </c>
      <c r="K540" t="s">
        <v>1438</v>
      </c>
      <c r="L540">
        <v>4</v>
      </c>
      <c r="M540">
        <v>0</v>
      </c>
      <c r="N540">
        <v>0</v>
      </c>
      <c r="O540" t="s">
        <v>1440</v>
      </c>
      <c r="P540">
        <v>76291.02</v>
      </c>
      <c r="Q540">
        <v>10306</v>
      </c>
      <c r="R540" t="s">
        <v>1448</v>
      </c>
      <c r="S540" t="s">
        <v>1454</v>
      </c>
      <c r="U540" t="s">
        <v>1474</v>
      </c>
      <c r="V540" t="s">
        <v>1473</v>
      </c>
      <c r="AC540">
        <v>0</v>
      </c>
      <c r="AD540">
        <v>0</v>
      </c>
      <c r="AF540">
        <v>0</v>
      </c>
      <c r="AG540">
        <v>0</v>
      </c>
      <c r="AH540">
        <v>0</v>
      </c>
      <c r="AI540">
        <v>0</v>
      </c>
    </row>
    <row r="541" spans="1:35">
      <c r="A541" s="1">
        <f>HYPERLINK("https://lsnyc.legalserver.org/matter/dynamic-profile/view/1887585","19-1887585")</f>
        <v>0</v>
      </c>
      <c r="B541" t="s">
        <v>38</v>
      </c>
      <c r="C541" t="s">
        <v>45</v>
      </c>
      <c r="D541" t="s">
        <v>419</v>
      </c>
      <c r="E541" t="s">
        <v>934</v>
      </c>
      <c r="F541">
        <v>2090</v>
      </c>
      <c r="G541" t="s">
        <v>1032</v>
      </c>
      <c r="H541" t="s">
        <v>1313</v>
      </c>
      <c r="I541" t="s">
        <v>1334</v>
      </c>
      <c r="J541" t="s">
        <v>1362</v>
      </c>
      <c r="K541" t="s">
        <v>1438</v>
      </c>
      <c r="L541">
        <v>4</v>
      </c>
      <c r="M541">
        <v>0</v>
      </c>
      <c r="N541">
        <v>0</v>
      </c>
      <c r="O541" t="s">
        <v>1440</v>
      </c>
      <c r="P541">
        <v>27976</v>
      </c>
      <c r="Q541">
        <v>10307</v>
      </c>
      <c r="R541" t="s">
        <v>1448</v>
      </c>
      <c r="S541" t="s">
        <v>1452</v>
      </c>
      <c r="U541" t="s">
        <v>1475</v>
      </c>
      <c r="AC541">
        <v>0</v>
      </c>
      <c r="AD541">
        <v>0</v>
      </c>
      <c r="AF541">
        <v>0</v>
      </c>
      <c r="AG541">
        <v>0</v>
      </c>
      <c r="AH541">
        <v>0</v>
      </c>
      <c r="AI541">
        <v>0</v>
      </c>
    </row>
    <row r="542" spans="1:35">
      <c r="A542" s="1">
        <f>HYPERLINK("https://lsnyc.legalserver.org/matter/dynamic-profile/view/1888431","19-1888431")</f>
        <v>0</v>
      </c>
      <c r="B542" t="s">
        <v>38</v>
      </c>
      <c r="C542" t="s">
        <v>53</v>
      </c>
      <c r="D542" t="s">
        <v>484</v>
      </c>
      <c r="E542" t="s">
        <v>935</v>
      </c>
      <c r="F542">
        <v>2090</v>
      </c>
      <c r="G542" t="s">
        <v>1297</v>
      </c>
      <c r="H542" t="s">
        <v>1188</v>
      </c>
      <c r="I542" t="s">
        <v>1418</v>
      </c>
      <c r="K542" t="s">
        <v>1438</v>
      </c>
      <c r="L542">
        <v>3</v>
      </c>
      <c r="M542">
        <v>0</v>
      </c>
      <c r="N542">
        <v>2</v>
      </c>
      <c r="O542" t="s">
        <v>1441</v>
      </c>
      <c r="P542">
        <v>61900</v>
      </c>
      <c r="Q542">
        <v>10314</v>
      </c>
      <c r="R542" t="s">
        <v>1448</v>
      </c>
      <c r="S542" t="s">
        <v>1454</v>
      </c>
      <c r="U542" t="s">
        <v>1474</v>
      </c>
      <c r="V542" t="s">
        <v>1473</v>
      </c>
      <c r="AC542">
        <v>0</v>
      </c>
      <c r="AD542">
        <v>0</v>
      </c>
      <c r="AF542">
        <v>0</v>
      </c>
      <c r="AG542">
        <v>0</v>
      </c>
      <c r="AH542">
        <v>0</v>
      </c>
      <c r="AI542">
        <v>0</v>
      </c>
    </row>
    <row r="543" spans="1:35">
      <c r="A543" s="1">
        <f>HYPERLINK("https://lsnyc.legalserver.org/matter/dynamic-profile/view/1894857","19-1894857")</f>
        <v>0</v>
      </c>
      <c r="B543" t="s">
        <v>37</v>
      </c>
      <c r="C543" t="s">
        <v>54</v>
      </c>
      <c r="D543" t="s">
        <v>402</v>
      </c>
      <c r="E543" t="s">
        <v>936</v>
      </c>
      <c r="F543">
        <v>2091</v>
      </c>
      <c r="G543" t="s">
        <v>1298</v>
      </c>
      <c r="H543" t="s">
        <v>1185</v>
      </c>
      <c r="I543" t="s">
        <v>1338</v>
      </c>
      <c r="K543" t="s">
        <v>1438</v>
      </c>
      <c r="L543">
        <v>2</v>
      </c>
      <c r="M543">
        <v>0</v>
      </c>
      <c r="N543">
        <v>1</v>
      </c>
      <c r="O543" t="s">
        <v>1441</v>
      </c>
      <c r="P543">
        <v>44486.04</v>
      </c>
      <c r="Q543">
        <v>11219</v>
      </c>
      <c r="R543" t="s">
        <v>1447</v>
      </c>
      <c r="S543" t="s">
        <v>1460</v>
      </c>
      <c r="U543" t="s">
        <v>1474</v>
      </c>
      <c r="AC543">
        <v>0</v>
      </c>
      <c r="AD543">
        <v>0</v>
      </c>
      <c r="AF543">
        <v>0</v>
      </c>
      <c r="AG543">
        <v>0</v>
      </c>
      <c r="AH543">
        <v>0</v>
      </c>
      <c r="AI543">
        <v>0</v>
      </c>
    </row>
    <row r="544" spans="1:35">
      <c r="A544" s="1">
        <f>HYPERLINK("https://lsnyc.legalserver.org/matter/dynamic-profile/view/1897270","19-1897270")</f>
        <v>0</v>
      </c>
      <c r="B544" t="s">
        <v>38</v>
      </c>
      <c r="C544" t="s">
        <v>45</v>
      </c>
      <c r="D544" t="s">
        <v>485</v>
      </c>
      <c r="E544" t="s">
        <v>937</v>
      </c>
      <c r="F544">
        <v>2090</v>
      </c>
      <c r="G544" t="s">
        <v>1299</v>
      </c>
      <c r="H544" t="s">
        <v>1315</v>
      </c>
      <c r="I544" t="s">
        <v>1330</v>
      </c>
      <c r="K544" t="s">
        <v>1438</v>
      </c>
      <c r="L544">
        <v>3</v>
      </c>
      <c r="M544">
        <v>2</v>
      </c>
      <c r="N544">
        <v>0</v>
      </c>
      <c r="O544" t="s">
        <v>1440</v>
      </c>
      <c r="P544">
        <v>58992</v>
      </c>
      <c r="Q544">
        <v>10305</v>
      </c>
      <c r="R544" t="s">
        <v>1448</v>
      </c>
      <c r="S544" t="s">
        <v>1460</v>
      </c>
      <c r="U544" t="s">
        <v>1475</v>
      </c>
      <c r="AC544">
        <v>0</v>
      </c>
      <c r="AD544">
        <v>0</v>
      </c>
      <c r="AF544">
        <v>0</v>
      </c>
      <c r="AG544">
        <v>0</v>
      </c>
      <c r="AH544">
        <v>0</v>
      </c>
      <c r="AI544">
        <v>0</v>
      </c>
    </row>
    <row r="545" spans="1:35">
      <c r="A545" s="1">
        <f>HYPERLINK("https://lsnyc.legalserver.org/matter/dynamic-profile/view/1897851","19-1897851")</f>
        <v>0</v>
      </c>
      <c r="B545" t="s">
        <v>38</v>
      </c>
      <c r="C545" t="s">
        <v>45</v>
      </c>
      <c r="D545" t="s">
        <v>272</v>
      </c>
      <c r="E545" t="s">
        <v>938</v>
      </c>
      <c r="F545">
        <v>2090</v>
      </c>
      <c r="G545" t="s">
        <v>1191</v>
      </c>
      <c r="H545" t="s">
        <v>1313</v>
      </c>
      <c r="I545" t="s">
        <v>1338</v>
      </c>
      <c r="K545" t="s">
        <v>1438</v>
      </c>
      <c r="L545">
        <v>1</v>
      </c>
      <c r="M545">
        <v>2</v>
      </c>
      <c r="N545">
        <v>0</v>
      </c>
      <c r="O545" t="s">
        <v>1440</v>
      </c>
      <c r="P545">
        <v>46800</v>
      </c>
      <c r="Q545">
        <v>10306</v>
      </c>
      <c r="R545" t="s">
        <v>1448</v>
      </c>
      <c r="S545" t="s">
        <v>1456</v>
      </c>
      <c r="T545" t="s">
        <v>1458</v>
      </c>
      <c r="U545" t="s">
        <v>1472</v>
      </c>
      <c r="Y545" t="s">
        <v>1502</v>
      </c>
      <c r="AC545">
        <v>0</v>
      </c>
      <c r="AD545">
        <v>0</v>
      </c>
      <c r="AF545">
        <v>0</v>
      </c>
      <c r="AG545">
        <v>0</v>
      </c>
      <c r="AH545">
        <v>0</v>
      </c>
      <c r="AI545">
        <v>0</v>
      </c>
    </row>
    <row r="546" spans="1:35">
      <c r="A546" s="1">
        <f>HYPERLINK("https://lsnyc.legalserver.org/matter/dynamic-profile/view/1899513","19-1899513")</f>
        <v>0</v>
      </c>
      <c r="B546" t="s">
        <v>38</v>
      </c>
      <c r="C546" t="s">
        <v>53</v>
      </c>
      <c r="D546" t="s">
        <v>427</v>
      </c>
      <c r="E546" t="s">
        <v>939</v>
      </c>
      <c r="F546">
        <v>2090</v>
      </c>
      <c r="G546" t="s">
        <v>1300</v>
      </c>
      <c r="H546" t="s">
        <v>1318</v>
      </c>
      <c r="I546" t="s">
        <v>1342</v>
      </c>
      <c r="K546" t="s">
        <v>1438</v>
      </c>
      <c r="L546">
        <v>1</v>
      </c>
      <c r="M546">
        <v>2</v>
      </c>
      <c r="N546">
        <v>0</v>
      </c>
      <c r="P546">
        <v>22746</v>
      </c>
      <c r="Q546">
        <v>10309</v>
      </c>
      <c r="R546" t="s">
        <v>1448</v>
      </c>
      <c r="S546" t="s">
        <v>1456</v>
      </c>
      <c r="U546" t="s">
        <v>1474</v>
      </c>
      <c r="V546" t="s">
        <v>1487</v>
      </c>
      <c r="AC546">
        <v>0</v>
      </c>
      <c r="AD546">
        <v>0</v>
      </c>
      <c r="AF546">
        <v>0</v>
      </c>
      <c r="AG546">
        <v>0</v>
      </c>
      <c r="AH546">
        <v>0</v>
      </c>
      <c r="AI546">
        <v>0</v>
      </c>
    </row>
    <row r="547" spans="1:35">
      <c r="A547" s="1">
        <f>HYPERLINK("https://lsnyc.legalserver.org/matter/dynamic-profile/view/1900076","19-1900076")</f>
        <v>0</v>
      </c>
      <c r="B547" t="s">
        <v>38</v>
      </c>
      <c r="C547" t="s">
        <v>53</v>
      </c>
      <c r="D547" t="s">
        <v>486</v>
      </c>
      <c r="E547" t="s">
        <v>940</v>
      </c>
      <c r="F547">
        <v>2090</v>
      </c>
      <c r="G547" t="s">
        <v>1300</v>
      </c>
      <c r="H547" t="s">
        <v>1188</v>
      </c>
      <c r="I547" t="s">
        <v>1342</v>
      </c>
      <c r="K547" t="s">
        <v>1438</v>
      </c>
      <c r="L547">
        <v>2</v>
      </c>
      <c r="M547">
        <v>0</v>
      </c>
      <c r="N547">
        <v>0</v>
      </c>
      <c r="P547">
        <v>51200</v>
      </c>
      <c r="Q547">
        <v>10312</v>
      </c>
      <c r="R547" t="s">
        <v>1448</v>
      </c>
      <c r="S547" t="s">
        <v>1459</v>
      </c>
      <c r="U547" t="s">
        <v>1478</v>
      </c>
      <c r="AC547">
        <v>0</v>
      </c>
      <c r="AD547">
        <v>0</v>
      </c>
      <c r="AF547">
        <v>0</v>
      </c>
      <c r="AG547">
        <v>0</v>
      </c>
      <c r="AH547">
        <v>0</v>
      </c>
      <c r="AI547">
        <v>0</v>
      </c>
    </row>
    <row r="548" spans="1:35">
      <c r="A548" s="1">
        <f>HYPERLINK("https://lsnyc.legalserver.org/matter/dynamic-profile/view/1900777","19-1900777")</f>
        <v>0</v>
      </c>
      <c r="B548" t="s">
        <v>38</v>
      </c>
      <c r="C548" t="s">
        <v>44</v>
      </c>
      <c r="D548" t="s">
        <v>487</v>
      </c>
      <c r="E548" t="s">
        <v>941</v>
      </c>
      <c r="F548">
        <v>2090</v>
      </c>
      <c r="G548" t="s">
        <v>1301</v>
      </c>
      <c r="H548" t="s">
        <v>1313</v>
      </c>
      <c r="I548" t="s">
        <v>1345</v>
      </c>
      <c r="K548" t="s">
        <v>1438</v>
      </c>
      <c r="L548">
        <v>2</v>
      </c>
      <c r="M548">
        <v>3</v>
      </c>
      <c r="N548">
        <v>0</v>
      </c>
      <c r="O548" t="s">
        <v>1440</v>
      </c>
      <c r="P548">
        <v>28144</v>
      </c>
      <c r="Q548">
        <v>10303</v>
      </c>
      <c r="R548" t="s">
        <v>1448</v>
      </c>
      <c r="S548" t="s">
        <v>1454</v>
      </c>
      <c r="U548" t="s">
        <v>1475</v>
      </c>
      <c r="AC548">
        <v>0</v>
      </c>
      <c r="AD548">
        <v>0</v>
      </c>
      <c r="AF548">
        <v>0</v>
      </c>
      <c r="AG548">
        <v>0</v>
      </c>
      <c r="AH548">
        <v>0</v>
      </c>
      <c r="AI548">
        <v>0</v>
      </c>
    </row>
    <row r="549" spans="1:35">
      <c r="A549" s="1">
        <f>HYPERLINK("https://lsnyc.legalserver.org/matter/dynamic-profile/view/1902669","19-1902669")</f>
        <v>0</v>
      </c>
      <c r="B549" t="s">
        <v>36</v>
      </c>
      <c r="C549" t="s">
        <v>59</v>
      </c>
      <c r="D549" t="s">
        <v>488</v>
      </c>
      <c r="E549" t="s">
        <v>942</v>
      </c>
      <c r="F549">
        <v>2093</v>
      </c>
      <c r="G549" t="s">
        <v>1302</v>
      </c>
      <c r="H549" t="s">
        <v>1313</v>
      </c>
      <c r="I549" t="s">
        <v>1336</v>
      </c>
      <c r="K549" t="s">
        <v>1438</v>
      </c>
      <c r="L549">
        <v>5</v>
      </c>
      <c r="M549">
        <v>0</v>
      </c>
      <c r="N549">
        <v>0</v>
      </c>
      <c r="O549" t="s">
        <v>1440</v>
      </c>
      <c r="P549">
        <v>60000</v>
      </c>
      <c r="Q549">
        <v>11365</v>
      </c>
      <c r="R549" t="s">
        <v>1446</v>
      </c>
      <c r="S549" t="s">
        <v>1460</v>
      </c>
      <c r="U549" t="s">
        <v>1473</v>
      </c>
      <c r="AC549">
        <v>0</v>
      </c>
      <c r="AD549">
        <v>0</v>
      </c>
      <c r="AF549">
        <v>0</v>
      </c>
      <c r="AG549">
        <v>0</v>
      </c>
      <c r="AH549">
        <v>0</v>
      </c>
      <c r="AI549">
        <v>0</v>
      </c>
    </row>
    <row r="550" spans="1:35">
      <c r="A550" s="1">
        <f>HYPERLINK("https://lsnyc.legalserver.org/matter/dynamic-profile/view/1902716","19-1902716")</f>
        <v>0</v>
      </c>
      <c r="B550" t="s">
        <v>37</v>
      </c>
      <c r="C550" t="s">
        <v>42</v>
      </c>
      <c r="D550" t="s">
        <v>489</v>
      </c>
      <c r="E550" t="s">
        <v>943</v>
      </c>
      <c r="F550">
        <v>2091</v>
      </c>
      <c r="G550" t="s">
        <v>1302</v>
      </c>
      <c r="H550" t="s">
        <v>1317</v>
      </c>
      <c r="K550" t="s">
        <v>1438</v>
      </c>
      <c r="L550">
        <v>5</v>
      </c>
      <c r="M550">
        <v>1</v>
      </c>
      <c r="N550">
        <v>0</v>
      </c>
      <c r="P550">
        <v>123189</v>
      </c>
      <c r="Q550">
        <v>11234</v>
      </c>
      <c r="R550" t="s">
        <v>1447</v>
      </c>
      <c r="S550" t="s">
        <v>1459</v>
      </c>
      <c r="U550" t="s">
        <v>1471</v>
      </c>
      <c r="V550" t="s">
        <v>1475</v>
      </c>
      <c r="W550" t="s">
        <v>1497</v>
      </c>
      <c r="Y550" t="s">
        <v>1498</v>
      </c>
      <c r="AC550">
        <v>0</v>
      </c>
      <c r="AD550">
        <v>0</v>
      </c>
      <c r="AF550">
        <v>0</v>
      </c>
      <c r="AG550">
        <v>0</v>
      </c>
      <c r="AH550">
        <v>0</v>
      </c>
      <c r="AI550">
        <v>0</v>
      </c>
    </row>
    <row r="551" spans="1:35">
      <c r="A551" s="1">
        <f>HYPERLINK("https://lsnyc.legalserver.org/matter/dynamic-profile/view/1904511","19-1904511")</f>
        <v>0</v>
      </c>
      <c r="B551" t="s">
        <v>35</v>
      </c>
      <c r="C551" t="s">
        <v>46</v>
      </c>
      <c r="D551" t="s">
        <v>490</v>
      </c>
      <c r="E551" t="s">
        <v>944</v>
      </c>
      <c r="F551">
        <v>2094</v>
      </c>
      <c r="G551" t="s">
        <v>981</v>
      </c>
      <c r="H551" t="s">
        <v>1187</v>
      </c>
      <c r="I551" t="s">
        <v>1348</v>
      </c>
      <c r="K551" t="s">
        <v>1438</v>
      </c>
      <c r="L551">
        <v>1</v>
      </c>
      <c r="M551">
        <v>0</v>
      </c>
      <c r="N551">
        <v>1</v>
      </c>
      <c r="O551" t="s">
        <v>1440</v>
      </c>
      <c r="P551">
        <v>28564.08</v>
      </c>
      <c r="Q551">
        <v>10461</v>
      </c>
      <c r="R551" t="s">
        <v>1445</v>
      </c>
      <c r="S551" t="s">
        <v>1452</v>
      </c>
      <c r="T551" t="s">
        <v>1453</v>
      </c>
      <c r="U551" t="s">
        <v>1472</v>
      </c>
      <c r="V551" t="s">
        <v>1471</v>
      </c>
      <c r="Y551" t="s">
        <v>1512</v>
      </c>
      <c r="AC551">
        <v>0</v>
      </c>
      <c r="AD551">
        <v>0</v>
      </c>
      <c r="AF551">
        <v>0</v>
      </c>
      <c r="AG551">
        <v>0</v>
      </c>
      <c r="AH551">
        <v>0</v>
      </c>
      <c r="AI551">
        <v>0</v>
      </c>
    </row>
    <row r="552" spans="1:35">
      <c r="A552" s="1">
        <f>HYPERLINK("https://lsnyc.legalserver.org/matter/dynamic-profile/view/1905181","19-1905181")</f>
        <v>0</v>
      </c>
      <c r="B552" t="s">
        <v>35</v>
      </c>
      <c r="C552" t="s">
        <v>46</v>
      </c>
      <c r="D552" t="s">
        <v>491</v>
      </c>
      <c r="E552" t="s">
        <v>945</v>
      </c>
      <c r="F552">
        <v>2094</v>
      </c>
      <c r="G552" t="s">
        <v>1020</v>
      </c>
      <c r="H552" t="s">
        <v>1318</v>
      </c>
      <c r="I552" t="s">
        <v>1329</v>
      </c>
      <c r="K552" t="s">
        <v>1438</v>
      </c>
      <c r="L552">
        <v>2</v>
      </c>
      <c r="M552">
        <v>0</v>
      </c>
      <c r="N552">
        <v>1</v>
      </c>
      <c r="O552" t="s">
        <v>1440</v>
      </c>
      <c r="P552">
        <v>10080</v>
      </c>
      <c r="Q552">
        <v>10463</v>
      </c>
      <c r="R552" t="s">
        <v>1445</v>
      </c>
      <c r="S552" t="s">
        <v>1454</v>
      </c>
      <c r="U552" t="s">
        <v>1472</v>
      </c>
      <c r="V552" t="s">
        <v>1473</v>
      </c>
      <c r="Y552" t="s">
        <v>1502</v>
      </c>
      <c r="AC552">
        <v>0</v>
      </c>
      <c r="AD552">
        <v>0</v>
      </c>
      <c r="AF552">
        <v>0</v>
      </c>
      <c r="AG552">
        <v>0</v>
      </c>
      <c r="AH552">
        <v>0</v>
      </c>
      <c r="AI552">
        <v>0</v>
      </c>
    </row>
    <row r="553" spans="1:35">
      <c r="A553" s="1">
        <f>HYPERLINK("https://lsnyc.legalserver.org/matter/dynamic-profile/view/1905252","19-1905252")</f>
        <v>0</v>
      </c>
      <c r="B553" t="s">
        <v>36</v>
      </c>
      <c r="C553" t="s">
        <v>51</v>
      </c>
      <c r="D553" t="s">
        <v>492</v>
      </c>
      <c r="E553" t="s">
        <v>946</v>
      </c>
      <c r="F553">
        <v>2093</v>
      </c>
      <c r="G553" t="s">
        <v>1020</v>
      </c>
      <c r="H553" t="s">
        <v>1308</v>
      </c>
      <c r="I553" t="s">
        <v>1347</v>
      </c>
      <c r="K553" t="s">
        <v>1438</v>
      </c>
      <c r="L553">
        <v>1</v>
      </c>
      <c r="M553">
        <v>0</v>
      </c>
      <c r="N553">
        <v>1</v>
      </c>
      <c r="O553" t="s">
        <v>1441</v>
      </c>
      <c r="P553">
        <v>12702.12</v>
      </c>
      <c r="Q553">
        <v>11358</v>
      </c>
      <c r="R553" t="s">
        <v>1446</v>
      </c>
      <c r="S553" t="s">
        <v>1454</v>
      </c>
      <c r="U553" t="s">
        <v>1474</v>
      </c>
      <c r="AC553">
        <v>0</v>
      </c>
      <c r="AD553">
        <v>0</v>
      </c>
      <c r="AF553">
        <v>0</v>
      </c>
      <c r="AG553">
        <v>0</v>
      </c>
      <c r="AH553">
        <v>0</v>
      </c>
      <c r="AI553">
        <v>0</v>
      </c>
    </row>
    <row r="554" spans="1:35">
      <c r="A554" s="1">
        <f>HYPERLINK("https://lsnyc.legalserver.org/matter/dynamic-profile/view/1904877","19-1904877")</f>
        <v>0</v>
      </c>
      <c r="B554" t="s">
        <v>38</v>
      </c>
      <c r="C554" t="s">
        <v>45</v>
      </c>
      <c r="D554" t="s">
        <v>266</v>
      </c>
      <c r="E554" t="s">
        <v>947</v>
      </c>
      <c r="F554">
        <v>2090</v>
      </c>
      <c r="G554" t="s">
        <v>1154</v>
      </c>
      <c r="H554" t="s">
        <v>1313</v>
      </c>
      <c r="I554" t="s">
        <v>1380</v>
      </c>
      <c r="K554" t="s">
        <v>1438</v>
      </c>
      <c r="L554">
        <v>3</v>
      </c>
      <c r="M554">
        <v>0</v>
      </c>
      <c r="N554">
        <v>0</v>
      </c>
      <c r="P554">
        <v>38448</v>
      </c>
      <c r="Q554">
        <v>10306</v>
      </c>
      <c r="R554" t="s">
        <v>1448</v>
      </c>
      <c r="S554" t="s">
        <v>1454</v>
      </c>
      <c r="U554" t="s">
        <v>1472</v>
      </c>
      <c r="Y554" t="s">
        <v>1502</v>
      </c>
      <c r="AC554">
        <v>0</v>
      </c>
      <c r="AD554">
        <v>0</v>
      </c>
      <c r="AF554">
        <v>0</v>
      </c>
      <c r="AG554">
        <v>0</v>
      </c>
      <c r="AH554">
        <v>0</v>
      </c>
      <c r="AI554">
        <v>0</v>
      </c>
    </row>
    <row r="555" spans="1:35">
      <c r="A555" s="1">
        <f>HYPERLINK("https://lsnyc.legalserver.org/matter/dynamic-profile/view/1905935","19-1905935")</f>
        <v>0</v>
      </c>
      <c r="B555" t="s">
        <v>38</v>
      </c>
      <c r="C555" t="s">
        <v>48</v>
      </c>
      <c r="D555" t="s">
        <v>493</v>
      </c>
      <c r="E555" t="s">
        <v>108</v>
      </c>
      <c r="F555">
        <v>2090</v>
      </c>
      <c r="G555" t="s">
        <v>1303</v>
      </c>
      <c r="H555" t="s">
        <v>989</v>
      </c>
      <c r="K555" t="s">
        <v>1438</v>
      </c>
      <c r="L555">
        <v>2</v>
      </c>
      <c r="M555">
        <v>2</v>
      </c>
      <c r="N555">
        <v>0</v>
      </c>
      <c r="P555">
        <v>79400</v>
      </c>
      <c r="Q555">
        <v>10312</v>
      </c>
      <c r="R555" t="s">
        <v>1448</v>
      </c>
      <c r="S555" t="s">
        <v>1454</v>
      </c>
      <c r="T555" t="s">
        <v>1456</v>
      </c>
      <c r="U555" t="s">
        <v>1473</v>
      </c>
      <c r="V555" t="s">
        <v>1471</v>
      </c>
      <c r="AC555">
        <v>0</v>
      </c>
      <c r="AD555">
        <v>0</v>
      </c>
      <c r="AF555">
        <v>0</v>
      </c>
      <c r="AG555">
        <v>0</v>
      </c>
      <c r="AH555">
        <v>0</v>
      </c>
      <c r="AI555">
        <v>0</v>
      </c>
    </row>
    <row r="556" spans="1:35">
      <c r="A556" s="1">
        <f>HYPERLINK("https://lsnyc.legalserver.org/matter/dynamic-profile/view/1906262","19-1906262")</f>
        <v>0</v>
      </c>
      <c r="B556" t="s">
        <v>38</v>
      </c>
      <c r="C556" t="s">
        <v>48</v>
      </c>
      <c r="D556" t="s">
        <v>494</v>
      </c>
      <c r="E556" t="s">
        <v>948</v>
      </c>
      <c r="F556">
        <v>2090</v>
      </c>
      <c r="G556" t="s">
        <v>1304</v>
      </c>
      <c r="H556" t="s">
        <v>1186</v>
      </c>
      <c r="K556" t="s">
        <v>1438</v>
      </c>
      <c r="L556">
        <v>3</v>
      </c>
      <c r="M556">
        <v>0</v>
      </c>
      <c r="N556">
        <v>0</v>
      </c>
      <c r="P556">
        <v>78000</v>
      </c>
      <c r="Q556">
        <v>10306</v>
      </c>
      <c r="R556" t="s">
        <v>1448</v>
      </c>
      <c r="S556" t="s">
        <v>1453</v>
      </c>
      <c r="U556" t="s">
        <v>1473</v>
      </c>
      <c r="V556" t="s">
        <v>1471</v>
      </c>
      <c r="AC556">
        <v>0</v>
      </c>
      <c r="AD556">
        <v>0</v>
      </c>
      <c r="AF556">
        <v>0</v>
      </c>
      <c r="AG556">
        <v>0</v>
      </c>
      <c r="AH556">
        <v>0</v>
      </c>
      <c r="AI556">
        <v>0</v>
      </c>
    </row>
    <row r="557" spans="1:35">
      <c r="A557" s="1">
        <f>HYPERLINK("https://lsnyc.legalserver.org/matter/dynamic-profile/view/1906370","19-1906370")</f>
        <v>0</v>
      </c>
      <c r="B557" t="s">
        <v>35</v>
      </c>
      <c r="C557" t="s">
        <v>39</v>
      </c>
      <c r="D557" t="s">
        <v>160</v>
      </c>
      <c r="E557" t="s">
        <v>949</v>
      </c>
      <c r="F557">
        <v>2094</v>
      </c>
      <c r="G557" t="s">
        <v>1156</v>
      </c>
      <c r="H557" t="s">
        <v>1196</v>
      </c>
      <c r="I557" t="s">
        <v>1329</v>
      </c>
      <c r="K557" t="s">
        <v>1438</v>
      </c>
      <c r="L557">
        <v>2</v>
      </c>
      <c r="M557">
        <v>0</v>
      </c>
      <c r="N557">
        <v>2</v>
      </c>
      <c r="O557" t="s">
        <v>1441</v>
      </c>
      <c r="P557">
        <v>31200</v>
      </c>
      <c r="Q557">
        <v>10472</v>
      </c>
      <c r="R557" t="s">
        <v>1445</v>
      </c>
      <c r="S557" t="s">
        <v>1464</v>
      </c>
      <c r="U557" t="s">
        <v>1474</v>
      </c>
      <c r="V557" t="s">
        <v>1470</v>
      </c>
      <c r="Y557" t="s">
        <v>1498</v>
      </c>
      <c r="AC557">
        <v>0</v>
      </c>
      <c r="AD557">
        <v>0</v>
      </c>
      <c r="AF557">
        <v>0</v>
      </c>
      <c r="AG557">
        <v>0</v>
      </c>
      <c r="AH557">
        <v>0</v>
      </c>
      <c r="AI557">
        <v>0</v>
      </c>
    </row>
    <row r="558" spans="1:35">
      <c r="A558" s="1">
        <f>HYPERLINK("https://lsnyc.legalserver.org/matter/dynamic-profile/view/1906525","19-1906525")</f>
        <v>0</v>
      </c>
      <c r="B558" t="s">
        <v>37</v>
      </c>
      <c r="C558" t="s">
        <v>42</v>
      </c>
      <c r="D558" t="s">
        <v>495</v>
      </c>
      <c r="E558" t="s">
        <v>950</v>
      </c>
      <c r="F558">
        <v>2091</v>
      </c>
      <c r="G558" t="s">
        <v>1156</v>
      </c>
      <c r="H558" t="s">
        <v>1318</v>
      </c>
      <c r="I558" t="s">
        <v>1362</v>
      </c>
      <c r="K558" t="s">
        <v>1438</v>
      </c>
      <c r="L558">
        <v>2</v>
      </c>
      <c r="M558">
        <v>2</v>
      </c>
      <c r="N558">
        <v>0</v>
      </c>
      <c r="O558" t="s">
        <v>1442</v>
      </c>
      <c r="P558">
        <v>141600</v>
      </c>
      <c r="Q558">
        <v>11209</v>
      </c>
      <c r="R558" t="s">
        <v>1447</v>
      </c>
      <c r="S558" t="s">
        <v>1460</v>
      </c>
      <c r="T558" t="s">
        <v>1453</v>
      </c>
      <c r="U558" t="s">
        <v>1475</v>
      </c>
      <c r="V558" t="s">
        <v>1472</v>
      </c>
      <c r="Y558" t="s">
        <v>1502</v>
      </c>
      <c r="AA558" t="s">
        <v>1498</v>
      </c>
      <c r="AC558">
        <v>0</v>
      </c>
      <c r="AD558">
        <v>0</v>
      </c>
      <c r="AF558">
        <v>0</v>
      </c>
      <c r="AG558">
        <v>0</v>
      </c>
      <c r="AH558">
        <v>0</v>
      </c>
      <c r="AI558">
        <v>0</v>
      </c>
    </row>
    <row r="559" spans="1:35">
      <c r="A559" s="1">
        <f>HYPERLINK("https://lsnyc.legalserver.org/matter/dynamic-profile/view/1906509","19-1906509")</f>
        <v>0</v>
      </c>
      <c r="B559" t="s">
        <v>36</v>
      </c>
      <c r="C559" t="s">
        <v>51</v>
      </c>
      <c r="D559" t="s">
        <v>496</v>
      </c>
      <c r="E559" t="s">
        <v>951</v>
      </c>
      <c r="F559">
        <v>2093</v>
      </c>
      <c r="G559" t="s">
        <v>1251</v>
      </c>
      <c r="H559" t="s">
        <v>989</v>
      </c>
      <c r="I559" t="s">
        <v>1337</v>
      </c>
      <c r="K559" t="s">
        <v>1438</v>
      </c>
      <c r="L559">
        <v>2</v>
      </c>
      <c r="M559">
        <v>0</v>
      </c>
      <c r="N559">
        <v>0</v>
      </c>
      <c r="O559" t="s">
        <v>1440</v>
      </c>
      <c r="P559">
        <v>24000</v>
      </c>
      <c r="Q559">
        <v>11379</v>
      </c>
      <c r="R559" t="s">
        <v>1446</v>
      </c>
      <c r="S559" t="s">
        <v>1454</v>
      </c>
      <c r="U559" t="s">
        <v>1472</v>
      </c>
      <c r="AC559">
        <v>0</v>
      </c>
      <c r="AD559">
        <v>0</v>
      </c>
      <c r="AF559">
        <v>0</v>
      </c>
      <c r="AG559">
        <v>0</v>
      </c>
      <c r="AH559">
        <v>0</v>
      </c>
      <c r="AI559">
        <v>0</v>
      </c>
    </row>
    <row r="560" spans="1:35">
      <c r="A560" s="1">
        <f>HYPERLINK("https://lsnyc.legalserver.org/matter/dynamic-profile/view/1907004","19-1907004")</f>
        <v>0</v>
      </c>
      <c r="B560" t="s">
        <v>38</v>
      </c>
      <c r="C560" t="s">
        <v>44</v>
      </c>
      <c r="D560" t="s">
        <v>497</v>
      </c>
      <c r="E560" t="s">
        <v>952</v>
      </c>
      <c r="F560">
        <v>2090</v>
      </c>
      <c r="G560" t="s">
        <v>1305</v>
      </c>
      <c r="H560" t="s">
        <v>1322</v>
      </c>
      <c r="I560" t="s">
        <v>1429</v>
      </c>
      <c r="K560" t="s">
        <v>1438</v>
      </c>
      <c r="L560">
        <v>2</v>
      </c>
      <c r="M560">
        <v>0</v>
      </c>
      <c r="N560">
        <v>0</v>
      </c>
      <c r="P560">
        <v>52578</v>
      </c>
      <c r="Q560">
        <v>10306</v>
      </c>
      <c r="R560" t="s">
        <v>1448</v>
      </c>
      <c r="S560" t="s">
        <v>1454</v>
      </c>
      <c r="U560" t="s">
        <v>1472</v>
      </c>
      <c r="Y560" t="s">
        <v>1502</v>
      </c>
      <c r="AC560">
        <v>0</v>
      </c>
      <c r="AD560">
        <v>0</v>
      </c>
      <c r="AF560">
        <v>0</v>
      </c>
      <c r="AG560">
        <v>0</v>
      </c>
      <c r="AH560">
        <v>0</v>
      </c>
      <c r="AI560">
        <v>0</v>
      </c>
    </row>
    <row r="561" spans="1:35">
      <c r="A561" s="1">
        <f>HYPERLINK("https://lsnyc.legalserver.org/matter/dynamic-profile/view/1907721","19-1907721")</f>
        <v>0</v>
      </c>
      <c r="B561" t="s">
        <v>36</v>
      </c>
      <c r="C561" t="s">
        <v>52</v>
      </c>
      <c r="D561" t="s">
        <v>498</v>
      </c>
      <c r="E561" t="s">
        <v>953</v>
      </c>
      <c r="F561">
        <v>2093</v>
      </c>
      <c r="G561" t="s">
        <v>1306</v>
      </c>
      <c r="H561" t="s">
        <v>1316</v>
      </c>
      <c r="I561" t="s">
        <v>1342</v>
      </c>
      <c r="K561" t="s">
        <v>1438</v>
      </c>
      <c r="L561">
        <v>4</v>
      </c>
      <c r="M561">
        <v>0</v>
      </c>
      <c r="N561">
        <v>0</v>
      </c>
      <c r="O561" t="s">
        <v>1440</v>
      </c>
      <c r="P561">
        <v>42000</v>
      </c>
      <c r="Q561">
        <v>11004</v>
      </c>
      <c r="R561" t="s">
        <v>1446</v>
      </c>
      <c r="S561" t="s">
        <v>1454</v>
      </c>
      <c r="U561" t="s">
        <v>1478</v>
      </c>
      <c r="AC561">
        <v>0</v>
      </c>
      <c r="AD561">
        <v>0</v>
      </c>
      <c r="AF561">
        <v>0</v>
      </c>
      <c r="AG561">
        <v>0</v>
      </c>
      <c r="AH561">
        <v>0</v>
      </c>
      <c r="AI561">
        <v>0</v>
      </c>
    </row>
    <row r="562" spans="1:35">
      <c r="A562" s="1">
        <f>HYPERLINK("https://lsnyc.legalserver.org/matter/dynamic-profile/view/1910461","19-1910461")</f>
        <v>0</v>
      </c>
      <c r="B562" t="s">
        <v>37</v>
      </c>
      <c r="C562" t="s">
        <v>58</v>
      </c>
      <c r="D562" t="s">
        <v>499</v>
      </c>
      <c r="E562" t="s">
        <v>954</v>
      </c>
      <c r="F562">
        <v>2091</v>
      </c>
      <c r="G562" t="s">
        <v>1196</v>
      </c>
      <c r="H562" t="s">
        <v>1184</v>
      </c>
      <c r="K562" t="s">
        <v>1438</v>
      </c>
      <c r="L562">
        <v>1</v>
      </c>
      <c r="M562">
        <v>2</v>
      </c>
      <c r="N562">
        <v>0</v>
      </c>
      <c r="O562" t="s">
        <v>1440</v>
      </c>
      <c r="P562">
        <v>18200</v>
      </c>
      <c r="Q562">
        <v>11235</v>
      </c>
      <c r="R562" t="s">
        <v>1447</v>
      </c>
      <c r="S562" t="s">
        <v>1458</v>
      </c>
      <c r="U562" t="s">
        <v>1470</v>
      </c>
      <c r="Y562" t="s">
        <v>1498</v>
      </c>
      <c r="AC562">
        <v>0</v>
      </c>
      <c r="AD562">
        <v>0</v>
      </c>
      <c r="AF562">
        <v>0</v>
      </c>
      <c r="AG562">
        <v>0</v>
      </c>
      <c r="AH562">
        <v>0</v>
      </c>
      <c r="AI562">
        <v>0</v>
      </c>
    </row>
    <row r="563" spans="1:35">
      <c r="A563" s="1">
        <f>HYPERLINK("https://lsnyc.legalserver.org/matter/dynamic-profile/view/1910591","19-1910591")</f>
        <v>0</v>
      </c>
      <c r="B563" t="s">
        <v>38</v>
      </c>
      <c r="C563" t="s">
        <v>45</v>
      </c>
      <c r="D563" t="s">
        <v>500</v>
      </c>
      <c r="E563" t="s">
        <v>575</v>
      </c>
      <c r="F563">
        <v>2090</v>
      </c>
      <c r="G563" t="s">
        <v>1165</v>
      </c>
      <c r="H563" t="s">
        <v>1316</v>
      </c>
      <c r="I563" t="s">
        <v>1338</v>
      </c>
      <c r="K563" t="s">
        <v>1438</v>
      </c>
      <c r="L563">
        <v>5</v>
      </c>
      <c r="M563">
        <v>0</v>
      </c>
      <c r="N563">
        <v>0</v>
      </c>
      <c r="P563">
        <v>38000</v>
      </c>
      <c r="Q563">
        <v>10305</v>
      </c>
      <c r="R563" t="s">
        <v>1448</v>
      </c>
      <c r="S563" t="s">
        <v>1454</v>
      </c>
      <c r="T563" t="s">
        <v>1452</v>
      </c>
      <c r="U563" t="s">
        <v>1475</v>
      </c>
      <c r="AC563">
        <v>0</v>
      </c>
      <c r="AD563">
        <v>0</v>
      </c>
      <c r="AF563">
        <v>0</v>
      </c>
      <c r="AG563">
        <v>0</v>
      </c>
      <c r="AH563">
        <v>0</v>
      </c>
      <c r="AI563">
        <v>0</v>
      </c>
    </row>
    <row r="564" spans="1:35">
      <c r="A564" s="1">
        <f>HYPERLINK("https://lsnyc.legalserver.org/matter/dynamic-profile/view/1911566","19-1911566")</f>
        <v>0</v>
      </c>
      <c r="B564" t="s">
        <v>38</v>
      </c>
      <c r="C564" t="s">
        <v>63</v>
      </c>
      <c r="D564" t="s">
        <v>195</v>
      </c>
      <c r="E564" t="s">
        <v>955</v>
      </c>
      <c r="F564">
        <v>2090</v>
      </c>
      <c r="G564" t="s">
        <v>1168</v>
      </c>
      <c r="H564" t="s">
        <v>1188</v>
      </c>
      <c r="K564" t="s">
        <v>1438</v>
      </c>
      <c r="L564">
        <v>3</v>
      </c>
      <c r="M564">
        <v>3</v>
      </c>
      <c r="N564">
        <v>0</v>
      </c>
      <c r="P564">
        <v>132400</v>
      </c>
      <c r="Q564">
        <v>10309</v>
      </c>
      <c r="R564" t="s">
        <v>1448</v>
      </c>
      <c r="S564" t="s">
        <v>1454</v>
      </c>
      <c r="U564" t="s">
        <v>1471</v>
      </c>
      <c r="AC564">
        <v>0</v>
      </c>
      <c r="AD564">
        <v>0</v>
      </c>
      <c r="AF564">
        <v>0</v>
      </c>
      <c r="AG564">
        <v>0</v>
      </c>
      <c r="AH564">
        <v>0</v>
      </c>
      <c r="AI564">
        <v>0</v>
      </c>
    </row>
    <row r="565" spans="1:35">
      <c r="A565" s="1">
        <f>HYPERLINK("https://lsnyc.legalserver.org/matter/dynamic-profile/view/1911727","19-1911727")</f>
        <v>0</v>
      </c>
      <c r="B565" t="s">
        <v>36</v>
      </c>
      <c r="C565" t="s">
        <v>52</v>
      </c>
      <c r="D565" t="s">
        <v>311</v>
      </c>
      <c r="E565" t="s">
        <v>956</v>
      </c>
      <c r="F565">
        <v>2093</v>
      </c>
      <c r="G565" t="s">
        <v>1013</v>
      </c>
      <c r="H565" t="s">
        <v>1317</v>
      </c>
      <c r="K565" t="s">
        <v>1438</v>
      </c>
      <c r="L565">
        <v>1</v>
      </c>
      <c r="M565">
        <v>0</v>
      </c>
      <c r="N565">
        <v>0</v>
      </c>
      <c r="P565">
        <v>0</v>
      </c>
      <c r="Q565">
        <v>11378</v>
      </c>
      <c r="R565" t="s">
        <v>1446</v>
      </c>
      <c r="S565" t="s">
        <v>1466</v>
      </c>
      <c r="U565" t="s">
        <v>1475</v>
      </c>
      <c r="AC565">
        <v>0</v>
      </c>
      <c r="AD565">
        <v>0</v>
      </c>
      <c r="AF565">
        <v>0</v>
      </c>
      <c r="AG565">
        <v>0</v>
      </c>
      <c r="AH565">
        <v>0</v>
      </c>
      <c r="AI565">
        <v>0</v>
      </c>
    </row>
    <row r="566" spans="1:35">
      <c r="A566" s="1">
        <f>HYPERLINK("https://lsnyc.legalserver.org/matter/dynamic-profile/view/1912636","19-1912636")</f>
        <v>0</v>
      </c>
      <c r="B566" t="s">
        <v>38</v>
      </c>
      <c r="C566" t="s">
        <v>48</v>
      </c>
      <c r="D566" t="s">
        <v>160</v>
      </c>
      <c r="E566" t="s">
        <v>957</v>
      </c>
      <c r="F566">
        <v>2090</v>
      </c>
      <c r="G566" t="s">
        <v>986</v>
      </c>
      <c r="H566" t="s">
        <v>1187</v>
      </c>
      <c r="I566" t="s">
        <v>1405</v>
      </c>
      <c r="K566" t="s">
        <v>1438</v>
      </c>
      <c r="L566">
        <v>3</v>
      </c>
      <c r="M566">
        <v>3</v>
      </c>
      <c r="N566">
        <v>0</v>
      </c>
      <c r="P566">
        <v>94552</v>
      </c>
      <c r="Q566">
        <v>10309</v>
      </c>
      <c r="R566" t="s">
        <v>1448</v>
      </c>
      <c r="S566" t="s">
        <v>1456</v>
      </c>
      <c r="U566" t="s">
        <v>1480</v>
      </c>
      <c r="AC566">
        <v>0</v>
      </c>
      <c r="AD566">
        <v>0</v>
      </c>
      <c r="AF566">
        <v>0</v>
      </c>
      <c r="AG566">
        <v>0</v>
      </c>
      <c r="AH566">
        <v>0</v>
      </c>
      <c r="AI566">
        <v>0</v>
      </c>
    </row>
    <row r="567" spans="1:35">
      <c r="A567" s="1">
        <f>HYPERLINK("https://lsnyc.legalserver.org/matter/dynamic-profile/view/1912124","19-1912124")</f>
        <v>0</v>
      </c>
      <c r="B567" t="s">
        <v>37</v>
      </c>
      <c r="C567" t="s">
        <v>42</v>
      </c>
      <c r="D567" t="s">
        <v>501</v>
      </c>
      <c r="E567" t="s">
        <v>958</v>
      </c>
      <c r="F567">
        <v>2091</v>
      </c>
      <c r="G567" t="s">
        <v>1307</v>
      </c>
      <c r="H567" t="s">
        <v>1317</v>
      </c>
      <c r="I567" t="s">
        <v>1358</v>
      </c>
      <c r="K567" t="s">
        <v>1438</v>
      </c>
      <c r="L567">
        <v>1</v>
      </c>
      <c r="M567">
        <v>0</v>
      </c>
      <c r="N567">
        <v>0</v>
      </c>
      <c r="P567">
        <v>25068</v>
      </c>
      <c r="Q567">
        <v>11210</v>
      </c>
      <c r="R567" t="s">
        <v>1447</v>
      </c>
      <c r="S567" t="s">
        <v>1454</v>
      </c>
      <c r="U567" t="s">
        <v>1478</v>
      </c>
      <c r="AC567">
        <v>0</v>
      </c>
      <c r="AD567">
        <v>0</v>
      </c>
      <c r="AF567">
        <v>0</v>
      </c>
      <c r="AG567">
        <v>0</v>
      </c>
      <c r="AH567">
        <v>0</v>
      </c>
      <c r="AI567">
        <v>0</v>
      </c>
    </row>
    <row r="568" spans="1:35">
      <c r="A568" s="1">
        <f>HYPERLINK("https://lsnyc.legalserver.org/matter/dynamic-profile/view/1912766","19-1912766")</f>
        <v>0</v>
      </c>
      <c r="B568" t="s">
        <v>36</v>
      </c>
      <c r="C568" t="s">
        <v>51</v>
      </c>
      <c r="D568" t="s">
        <v>217</v>
      </c>
      <c r="E568" t="s">
        <v>959</v>
      </c>
      <c r="F568">
        <v>2093</v>
      </c>
      <c r="G568" t="s">
        <v>1307</v>
      </c>
      <c r="H568" t="s">
        <v>1322</v>
      </c>
      <c r="I568" t="s">
        <v>1358</v>
      </c>
      <c r="K568" t="s">
        <v>1438</v>
      </c>
      <c r="L568">
        <v>1</v>
      </c>
      <c r="M568">
        <v>0</v>
      </c>
      <c r="N568">
        <v>0</v>
      </c>
      <c r="O568" t="s">
        <v>1440</v>
      </c>
      <c r="P568">
        <v>0</v>
      </c>
      <c r="Q568">
        <v>11378</v>
      </c>
      <c r="R568" t="s">
        <v>1446</v>
      </c>
      <c r="S568" t="s">
        <v>1459</v>
      </c>
      <c r="U568" t="s">
        <v>1472</v>
      </c>
      <c r="AC568">
        <v>0</v>
      </c>
      <c r="AD568">
        <v>0</v>
      </c>
      <c r="AF568">
        <v>0</v>
      </c>
      <c r="AG568">
        <v>0</v>
      </c>
      <c r="AH568">
        <v>0</v>
      </c>
      <c r="AI568">
        <v>0</v>
      </c>
    </row>
    <row r="569" spans="1:35">
      <c r="A569" s="1">
        <f>HYPERLINK("https://lsnyc.legalserver.org/matter/dynamic-profile/view/1913798","19-1913798")</f>
        <v>0</v>
      </c>
      <c r="B569" t="s">
        <v>38</v>
      </c>
      <c r="C569" t="s">
        <v>63</v>
      </c>
      <c r="D569" t="s">
        <v>269</v>
      </c>
      <c r="E569" t="s">
        <v>960</v>
      </c>
      <c r="F569">
        <v>2090</v>
      </c>
      <c r="G569" t="s">
        <v>1176</v>
      </c>
      <c r="H569" t="s">
        <v>1322</v>
      </c>
      <c r="K569" t="s">
        <v>1438</v>
      </c>
      <c r="L569">
        <v>2</v>
      </c>
      <c r="M569">
        <v>2</v>
      </c>
      <c r="N569">
        <v>0</v>
      </c>
      <c r="P569">
        <v>101950</v>
      </c>
      <c r="Q569">
        <v>10310</v>
      </c>
      <c r="R569" t="s">
        <v>1448</v>
      </c>
      <c r="AC569">
        <v>0</v>
      </c>
      <c r="AD569">
        <v>0</v>
      </c>
      <c r="AF569">
        <v>0</v>
      </c>
      <c r="AG569">
        <v>0</v>
      </c>
      <c r="AH569">
        <v>0</v>
      </c>
      <c r="AI569">
        <v>0</v>
      </c>
    </row>
    <row r="570" spans="1:35">
      <c r="A570" s="1">
        <f>HYPERLINK("https://lsnyc.legalserver.org/matter/dynamic-profile/view/1913803","19-1913803")</f>
        <v>0</v>
      </c>
      <c r="B570" t="s">
        <v>35</v>
      </c>
      <c r="C570" t="s">
        <v>39</v>
      </c>
      <c r="D570" t="s">
        <v>461</v>
      </c>
      <c r="E570" t="s">
        <v>961</v>
      </c>
      <c r="F570">
        <v>2094</v>
      </c>
      <c r="G570" t="s">
        <v>1176</v>
      </c>
      <c r="H570" t="s">
        <v>1313</v>
      </c>
      <c r="I570" t="s">
        <v>1363</v>
      </c>
      <c r="K570" t="s">
        <v>1438</v>
      </c>
      <c r="L570">
        <v>2</v>
      </c>
      <c r="M570">
        <v>2</v>
      </c>
      <c r="N570">
        <v>0</v>
      </c>
      <c r="O570" t="s">
        <v>1440</v>
      </c>
      <c r="P570">
        <v>117000</v>
      </c>
      <c r="Q570">
        <v>10465</v>
      </c>
      <c r="R570" t="s">
        <v>1445</v>
      </c>
      <c r="S570" t="s">
        <v>1452</v>
      </c>
      <c r="U570" t="s">
        <v>1475</v>
      </c>
      <c r="Y570" t="s">
        <v>1498</v>
      </c>
      <c r="AC570">
        <v>0</v>
      </c>
      <c r="AD570">
        <v>0</v>
      </c>
      <c r="AF570">
        <v>0</v>
      </c>
      <c r="AG570">
        <v>0</v>
      </c>
      <c r="AH570">
        <v>0</v>
      </c>
      <c r="AI570">
        <v>0</v>
      </c>
    </row>
    <row r="571" spans="1:35">
      <c r="A571" s="1">
        <f>HYPERLINK("https://lsnyc.legalserver.org/matter/dynamic-profile/view/1914003","19-1914003")</f>
        <v>0</v>
      </c>
      <c r="B571" t="s">
        <v>38</v>
      </c>
      <c r="C571" t="s">
        <v>44</v>
      </c>
      <c r="D571" t="s">
        <v>252</v>
      </c>
      <c r="E571" t="s">
        <v>962</v>
      </c>
      <c r="F571">
        <v>2090</v>
      </c>
      <c r="G571" t="s">
        <v>1040</v>
      </c>
      <c r="H571" t="s">
        <v>1322</v>
      </c>
      <c r="K571" t="s">
        <v>1438</v>
      </c>
      <c r="L571">
        <v>2</v>
      </c>
      <c r="M571">
        <v>2</v>
      </c>
      <c r="N571">
        <v>1</v>
      </c>
      <c r="O571" t="s">
        <v>1440</v>
      </c>
      <c r="P571">
        <v>64400</v>
      </c>
      <c r="Q571">
        <v>10312</v>
      </c>
      <c r="R571" t="s">
        <v>1448</v>
      </c>
      <c r="AC571">
        <v>0</v>
      </c>
      <c r="AD571">
        <v>0</v>
      </c>
      <c r="AF571">
        <v>0</v>
      </c>
      <c r="AG571">
        <v>0</v>
      </c>
      <c r="AH571">
        <v>0</v>
      </c>
      <c r="AI571">
        <v>0</v>
      </c>
    </row>
    <row r="572" spans="1:35">
      <c r="A572" s="1">
        <f>HYPERLINK("https://lsnyc.legalserver.org/matter/dynamic-profile/view/1914577","19-1914577")</f>
        <v>0</v>
      </c>
      <c r="B572" t="s">
        <v>37</v>
      </c>
      <c r="C572" t="s">
        <v>41</v>
      </c>
      <c r="D572" t="s">
        <v>502</v>
      </c>
      <c r="E572" t="s">
        <v>963</v>
      </c>
      <c r="F572">
        <v>2091</v>
      </c>
      <c r="G572" t="s">
        <v>1308</v>
      </c>
      <c r="H572" t="s">
        <v>1188</v>
      </c>
      <c r="I572" t="s">
        <v>1348</v>
      </c>
      <c r="K572" t="s">
        <v>1438</v>
      </c>
      <c r="L572">
        <v>2</v>
      </c>
      <c r="M572">
        <v>0</v>
      </c>
      <c r="N572">
        <v>0</v>
      </c>
      <c r="O572" t="s">
        <v>1441</v>
      </c>
      <c r="P572">
        <v>45600</v>
      </c>
      <c r="Q572">
        <v>11204</v>
      </c>
      <c r="R572" t="s">
        <v>1447</v>
      </c>
      <c r="S572" t="s">
        <v>1459</v>
      </c>
      <c r="U572" t="s">
        <v>1475</v>
      </c>
      <c r="AC572">
        <v>0</v>
      </c>
      <c r="AD572">
        <v>0</v>
      </c>
      <c r="AF572">
        <v>0</v>
      </c>
      <c r="AG572">
        <v>0</v>
      </c>
      <c r="AH572">
        <v>0</v>
      </c>
      <c r="AI572">
        <v>0</v>
      </c>
    </row>
    <row r="573" spans="1:35">
      <c r="A573" s="1">
        <f>HYPERLINK("https://lsnyc.legalserver.org/matter/dynamic-profile/view/1914917","19-1914917")</f>
        <v>0</v>
      </c>
      <c r="B573" t="s">
        <v>38</v>
      </c>
      <c r="C573" t="s">
        <v>63</v>
      </c>
      <c r="D573" t="s">
        <v>503</v>
      </c>
      <c r="E573" t="s">
        <v>964</v>
      </c>
      <c r="F573">
        <v>2090</v>
      </c>
      <c r="G573" t="s">
        <v>1180</v>
      </c>
      <c r="H573" t="s">
        <v>1316</v>
      </c>
      <c r="I573" t="s">
        <v>1338</v>
      </c>
      <c r="K573" t="s">
        <v>1438</v>
      </c>
      <c r="L573">
        <v>2</v>
      </c>
      <c r="M573">
        <v>0</v>
      </c>
      <c r="N573">
        <v>2</v>
      </c>
      <c r="O573" t="s">
        <v>1440</v>
      </c>
      <c r="P573">
        <v>48048</v>
      </c>
      <c r="Q573">
        <v>10308</v>
      </c>
      <c r="R573" t="s">
        <v>1448</v>
      </c>
      <c r="S573" t="s">
        <v>1456</v>
      </c>
      <c r="T573" t="s">
        <v>1452</v>
      </c>
      <c r="U573" t="s">
        <v>1472</v>
      </c>
      <c r="V573" t="s">
        <v>1470</v>
      </c>
      <c r="AC573">
        <v>0</v>
      </c>
      <c r="AD573">
        <v>0</v>
      </c>
      <c r="AF573">
        <v>0</v>
      </c>
      <c r="AG573">
        <v>0</v>
      </c>
      <c r="AH573">
        <v>0</v>
      </c>
      <c r="AI573">
        <v>0</v>
      </c>
    </row>
    <row r="574" spans="1:35">
      <c r="A574" s="1">
        <f>HYPERLINK("https://lsnyc.legalserver.org/matter/dynamic-profile/view/1915485","19-1915485")</f>
        <v>0</v>
      </c>
      <c r="B574" t="s">
        <v>37</v>
      </c>
      <c r="C574" t="s">
        <v>41</v>
      </c>
      <c r="D574" t="s">
        <v>252</v>
      </c>
      <c r="E574" t="s">
        <v>965</v>
      </c>
      <c r="F574">
        <v>2091</v>
      </c>
      <c r="G574" t="s">
        <v>1309</v>
      </c>
      <c r="H574" t="s">
        <v>1318</v>
      </c>
      <c r="I574" t="s">
        <v>1358</v>
      </c>
      <c r="K574" t="s">
        <v>1438</v>
      </c>
      <c r="L574">
        <v>3</v>
      </c>
      <c r="M574">
        <v>2</v>
      </c>
      <c r="N574">
        <v>1</v>
      </c>
      <c r="O574" t="s">
        <v>1440</v>
      </c>
      <c r="P574">
        <v>110247</v>
      </c>
      <c r="Q574">
        <v>11234</v>
      </c>
      <c r="R574" t="s">
        <v>1447</v>
      </c>
      <c r="S574" t="s">
        <v>1463</v>
      </c>
      <c r="T574" t="s">
        <v>1458</v>
      </c>
      <c r="U574" t="s">
        <v>1475</v>
      </c>
      <c r="AC574">
        <v>0</v>
      </c>
      <c r="AD574">
        <v>0</v>
      </c>
      <c r="AF574">
        <v>0</v>
      </c>
      <c r="AG574">
        <v>0</v>
      </c>
      <c r="AH574">
        <v>0</v>
      </c>
      <c r="AI574">
        <v>0</v>
      </c>
    </row>
    <row r="575" spans="1:35">
      <c r="A575" s="1">
        <f>HYPERLINK("https://lsnyc.legalserver.org/matter/dynamic-profile/view/1915804","19-1915804")</f>
        <v>0</v>
      </c>
      <c r="B575" t="s">
        <v>38</v>
      </c>
      <c r="C575" t="s">
        <v>63</v>
      </c>
      <c r="D575" t="s">
        <v>504</v>
      </c>
      <c r="E575" t="s">
        <v>966</v>
      </c>
      <c r="F575">
        <v>2090</v>
      </c>
      <c r="G575" t="s">
        <v>1310</v>
      </c>
      <c r="H575" t="s">
        <v>1322</v>
      </c>
      <c r="K575" t="s">
        <v>1438</v>
      </c>
      <c r="L575">
        <v>1</v>
      </c>
      <c r="M575">
        <v>0</v>
      </c>
      <c r="N575">
        <v>0</v>
      </c>
      <c r="P575">
        <v>18936</v>
      </c>
      <c r="Q575">
        <v>10312</v>
      </c>
      <c r="R575" t="s">
        <v>1448</v>
      </c>
      <c r="AC575">
        <v>0</v>
      </c>
      <c r="AD575">
        <v>0</v>
      </c>
      <c r="AF575">
        <v>0</v>
      </c>
      <c r="AG575">
        <v>0</v>
      </c>
      <c r="AH575">
        <v>0</v>
      </c>
      <c r="AI575">
        <v>0</v>
      </c>
    </row>
    <row r="576" spans="1:35">
      <c r="A576" s="1">
        <f>HYPERLINK("https://lsnyc.legalserver.org/matter/dynamic-profile/view/1915766","19-1915766")</f>
        <v>0</v>
      </c>
      <c r="B576" t="s">
        <v>38</v>
      </c>
      <c r="C576" t="s">
        <v>53</v>
      </c>
      <c r="D576" t="s">
        <v>218</v>
      </c>
      <c r="E576" t="s">
        <v>967</v>
      </c>
      <c r="F576">
        <v>2090</v>
      </c>
      <c r="G576" t="s">
        <v>1259</v>
      </c>
      <c r="H576" t="s">
        <v>1318</v>
      </c>
      <c r="K576" t="s">
        <v>1438</v>
      </c>
      <c r="L576">
        <v>3</v>
      </c>
      <c r="M576">
        <v>0</v>
      </c>
      <c r="N576">
        <v>0</v>
      </c>
      <c r="P576">
        <v>10800</v>
      </c>
      <c r="Q576">
        <v>10306</v>
      </c>
      <c r="R576" t="s">
        <v>1448</v>
      </c>
      <c r="AC576">
        <v>0</v>
      </c>
      <c r="AD576">
        <v>0</v>
      </c>
      <c r="AF576">
        <v>0</v>
      </c>
      <c r="AG576">
        <v>0</v>
      </c>
      <c r="AH576">
        <v>0</v>
      </c>
      <c r="AI576">
        <v>0</v>
      </c>
    </row>
    <row r="577" spans="1:35">
      <c r="A577" s="1">
        <f>HYPERLINK("https://lsnyc.legalserver.org/matter/dynamic-profile/view/1917173","19-1917173")</f>
        <v>0</v>
      </c>
      <c r="B577" t="s">
        <v>36</v>
      </c>
      <c r="C577" t="s">
        <v>52</v>
      </c>
      <c r="D577" t="s">
        <v>505</v>
      </c>
      <c r="E577" t="s">
        <v>968</v>
      </c>
      <c r="F577">
        <v>2093</v>
      </c>
      <c r="G577" t="s">
        <v>989</v>
      </c>
      <c r="H577" t="s">
        <v>1317</v>
      </c>
      <c r="K577" t="s">
        <v>1438</v>
      </c>
      <c r="L577">
        <v>3</v>
      </c>
      <c r="M577">
        <v>1</v>
      </c>
      <c r="N577">
        <v>0</v>
      </c>
      <c r="P577">
        <v>211000</v>
      </c>
      <c r="Q577">
        <v>11105</v>
      </c>
      <c r="R577" t="s">
        <v>1446</v>
      </c>
      <c r="AC577">
        <v>0</v>
      </c>
      <c r="AD577">
        <v>0</v>
      </c>
      <c r="AF577">
        <v>0</v>
      </c>
      <c r="AG577">
        <v>0</v>
      </c>
      <c r="AH577">
        <v>0</v>
      </c>
      <c r="AI577">
        <v>0</v>
      </c>
    </row>
    <row r="578" spans="1:35">
      <c r="A578" s="1">
        <f>HYPERLINK("https://lsnyc.legalserver.org/matter/dynamic-profile/view/1917013","19-1917013")</f>
        <v>0</v>
      </c>
      <c r="B578" t="s">
        <v>37</v>
      </c>
      <c r="C578" t="s">
        <v>65</v>
      </c>
      <c r="D578" t="s">
        <v>506</v>
      </c>
      <c r="E578" t="s">
        <v>969</v>
      </c>
      <c r="F578">
        <v>2091</v>
      </c>
      <c r="G578" t="s">
        <v>1311</v>
      </c>
      <c r="H578" t="s">
        <v>1311</v>
      </c>
      <c r="K578" t="s">
        <v>1438</v>
      </c>
      <c r="L578">
        <v>4</v>
      </c>
      <c r="M578">
        <v>0</v>
      </c>
      <c r="N578">
        <v>0</v>
      </c>
      <c r="P578">
        <v>36000</v>
      </c>
      <c r="Q578">
        <v>11218</v>
      </c>
      <c r="R578" t="s">
        <v>1447</v>
      </c>
      <c r="AC578">
        <v>0</v>
      </c>
      <c r="AD578">
        <v>0</v>
      </c>
      <c r="AF578">
        <v>0</v>
      </c>
      <c r="AG578">
        <v>0</v>
      </c>
      <c r="AH578">
        <v>0</v>
      </c>
      <c r="AI5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2019-12-30T17:07:08Z</dcterms:created>
  <dcterms:modified xsi:type="dcterms:W3CDTF">2019-12-30T17:07:08Z</dcterms:modified>
</cp:coreProperties>
</file>