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<sst xmlns="http://schemas.openxmlformats.org/spreadsheetml/2006/main" count="8266" uniqueCount="1400">
  <si>
    <t>Hyperlinked Case #</t>
  </si>
  <si>
    <t>Assigned Branch/CC</t>
  </si>
  <si>
    <t>Caseworker Name</t>
  </si>
  <si>
    <t>Client First Name</t>
  </si>
  <si>
    <t>Client Last Name</t>
  </si>
  <si>
    <t>FundsNum</t>
  </si>
  <si>
    <t>Servicer</t>
  </si>
  <si>
    <t>Servicer.1</t>
  </si>
  <si>
    <t>Race (CNYCN)</t>
  </si>
  <si>
    <t>Number of People 18 and Over</t>
  </si>
  <si>
    <t>Number of People under 18</t>
  </si>
  <si>
    <t>Number Of Seniors In Household</t>
  </si>
  <si>
    <t>FPU Num Prop Units</t>
  </si>
  <si>
    <t xml:space="preserve">Total Annual Income </t>
  </si>
  <si>
    <t>Zip Code</t>
  </si>
  <si>
    <t>County of Residence</t>
  </si>
  <si>
    <t>FPU Prim Src Client Prob</t>
  </si>
  <si>
    <t>FPU Sec Src Client Prob</t>
  </si>
  <si>
    <t>Type Of Assistance</t>
  </si>
  <si>
    <t>Secondary Assistance Type</t>
  </si>
  <si>
    <t>Loan Modification Status</t>
  </si>
  <si>
    <t>Loan Modification Status 2</t>
  </si>
  <si>
    <t>FPU Primary Outcome</t>
  </si>
  <si>
    <t>FPU Primary Outcome - 2nd</t>
  </si>
  <si>
    <t>FPU Secondary Outcome</t>
  </si>
  <si>
    <t>FPU Secondary Outcome - 2nd</t>
  </si>
  <si>
    <t>FPU Mod PITI Payment - 1st</t>
  </si>
  <si>
    <t>FPU Mod PITI Payment - 2nd</t>
  </si>
  <si>
    <t>Funds Obtained</t>
  </si>
  <si>
    <t>FPU Amount of Principal Forbearance (1st)</t>
  </si>
  <si>
    <t>FPU Amount of Principal Forbearance (2nd)</t>
  </si>
  <si>
    <t>Debt Discharged In Short Sales</t>
  </si>
  <si>
    <t>Settlement Amount</t>
  </si>
  <si>
    <t>Staten Island Legal Services</t>
  </si>
  <si>
    <t>Queens Legal Services</t>
  </si>
  <si>
    <t>Brooklyn Legal Services</t>
  </si>
  <si>
    <t>Bronx Legal Services</t>
  </si>
  <si>
    <t>Legal Support Unit</t>
  </si>
  <si>
    <t>Manaugh, Sara</t>
  </si>
  <si>
    <t>Lee, Thomas</t>
  </si>
  <si>
    <t>Isobe, Catherine</t>
  </si>
  <si>
    <t>De Jesus, Martha</t>
  </si>
  <si>
    <t>Newton, Christopher</t>
  </si>
  <si>
    <t>Nunez, Crystal</t>
  </si>
  <si>
    <t>Rodriguez, Priscilla</t>
  </si>
  <si>
    <t>Tyler, Johnson</t>
  </si>
  <si>
    <t>Lorenzo, Alexis</t>
  </si>
  <si>
    <t>Woods, Stacey</t>
  </si>
  <si>
    <t>Sinton, Jennifer</t>
  </si>
  <si>
    <t>Jonas, Myrtle</t>
  </si>
  <si>
    <t>Kransdorf, William</t>
  </si>
  <si>
    <t>Eisenberg, Jennifer</t>
  </si>
  <si>
    <t>Burkle, Arthur</t>
  </si>
  <si>
    <t>Lerman, Jennifer</t>
  </si>
  <si>
    <t>Arias, Sandra</t>
  </si>
  <si>
    <t>Griffin, Jacquelyn</t>
  </si>
  <si>
    <t>Tillona, Thomas</t>
  </si>
  <si>
    <t>Hammersmith, Amy</t>
  </si>
  <si>
    <t>McDonald, Geoffrey</t>
  </si>
  <si>
    <t>Schwartz, Irv</t>
  </si>
  <si>
    <t>Flynn, William</t>
  </si>
  <si>
    <t>Herman, Terry</t>
  </si>
  <si>
    <t>Salcedo, Luciris</t>
  </si>
  <si>
    <t>Baldwin, Sarah</t>
  </si>
  <si>
    <t>Maltezos, Alexander</t>
  </si>
  <si>
    <t>Corcione, Emily</t>
  </si>
  <si>
    <t>Kenick, William</t>
  </si>
  <si>
    <t>Geballe, Rachel</t>
  </si>
  <si>
    <t>Scherman, Randi</t>
  </si>
  <si>
    <t>Tan, Andrea</t>
  </si>
  <si>
    <t>Capers, Azalea</t>
  </si>
  <si>
    <t>Pacheco, Joe</t>
  </si>
  <si>
    <t>Rafaqat</t>
  </si>
  <si>
    <t>Fatima</t>
  </si>
  <si>
    <t>Irma</t>
  </si>
  <si>
    <t>Bokul</t>
  </si>
  <si>
    <t>Amelita</t>
  </si>
  <si>
    <t>Aiko</t>
  </si>
  <si>
    <t>Merlene</t>
  </si>
  <si>
    <t>Louise</t>
  </si>
  <si>
    <t>Morris</t>
  </si>
  <si>
    <t>Phoolkumari</t>
  </si>
  <si>
    <t>Ann Marie</t>
  </si>
  <si>
    <t>Nacola</t>
  </si>
  <si>
    <t>Amanda</t>
  </si>
  <si>
    <t>Thelma</t>
  </si>
  <si>
    <t>Ernst</t>
  </si>
  <si>
    <t>Bryan</t>
  </si>
  <si>
    <t>Faye</t>
  </si>
  <si>
    <t>Mayon</t>
  </si>
  <si>
    <t>Trishia</t>
  </si>
  <si>
    <t>Amberzine</t>
  </si>
  <si>
    <t>Allan</t>
  </si>
  <si>
    <t>Jean</t>
  </si>
  <si>
    <t>Ollie</t>
  </si>
  <si>
    <t>Angela</t>
  </si>
  <si>
    <t>Geraldine</t>
  </si>
  <si>
    <t>Francine</t>
  </si>
  <si>
    <t>Gordon</t>
  </si>
  <si>
    <t>Annette</t>
  </si>
  <si>
    <t>Joseph</t>
  </si>
  <si>
    <t>Errol</t>
  </si>
  <si>
    <t>Melvina</t>
  </si>
  <si>
    <t>Cyprian</t>
  </si>
  <si>
    <t>Richard</t>
  </si>
  <si>
    <t>Zelita</t>
  </si>
  <si>
    <t>Jasmin</t>
  </si>
  <si>
    <t>Alberta</t>
  </si>
  <si>
    <t>Aris</t>
  </si>
  <si>
    <t>Flaubert</t>
  </si>
  <si>
    <t>Carol</t>
  </si>
  <si>
    <t>Prince</t>
  </si>
  <si>
    <t>Annie</t>
  </si>
  <si>
    <t>Eghosa</t>
  </si>
  <si>
    <t>Sheryl</t>
  </si>
  <si>
    <t>Lisa</t>
  </si>
  <si>
    <t>Chioma</t>
  </si>
  <si>
    <t>Marilyn</t>
  </si>
  <si>
    <t>Norma</t>
  </si>
  <si>
    <t>Terrance</t>
  </si>
  <si>
    <t>LORRAINE</t>
  </si>
  <si>
    <t>Leonard</t>
  </si>
  <si>
    <t>Iris</t>
  </si>
  <si>
    <t>Tequia</t>
  </si>
  <si>
    <t>Tony</t>
  </si>
  <si>
    <t>Lennard</t>
  </si>
  <si>
    <t>Paul</t>
  </si>
  <si>
    <t>Ayodeji</t>
  </si>
  <si>
    <t>Eric</t>
  </si>
  <si>
    <t>Judith</t>
  </si>
  <si>
    <t>Sandy</t>
  </si>
  <si>
    <t>Edwin</t>
  </si>
  <si>
    <t>Roxy</t>
  </si>
  <si>
    <t>Gregory</t>
  </si>
  <si>
    <t>Gilda</t>
  </si>
  <si>
    <t>Etta</t>
  </si>
  <si>
    <t>Catherine</t>
  </si>
  <si>
    <t>Elena</t>
  </si>
  <si>
    <t>Yolanda</t>
  </si>
  <si>
    <t>Rosa</t>
  </si>
  <si>
    <t>Ricarldo</t>
  </si>
  <si>
    <t>Maria</t>
  </si>
  <si>
    <t>Daneshram</t>
  </si>
  <si>
    <t>John</t>
  </si>
  <si>
    <t>Joanne</t>
  </si>
  <si>
    <t>Cynthia</t>
  </si>
  <si>
    <t>Ines</t>
  </si>
  <si>
    <t>Charles</t>
  </si>
  <si>
    <t>Roberto</t>
  </si>
  <si>
    <t>Akil</t>
  </si>
  <si>
    <t>Mayra</t>
  </si>
  <si>
    <t>Jannette</t>
  </si>
  <si>
    <t>Bibi</t>
  </si>
  <si>
    <t>Shiroon</t>
  </si>
  <si>
    <t>Jacqueline</t>
  </si>
  <si>
    <t>Monica</t>
  </si>
  <si>
    <t>Sonia</t>
  </si>
  <si>
    <t>Carmen</t>
  </si>
  <si>
    <t>Gloria</t>
  </si>
  <si>
    <t>Milagros</t>
  </si>
  <si>
    <t>Inderella</t>
  </si>
  <si>
    <t>Norberto</t>
  </si>
  <si>
    <t>Abulfazal</t>
  </si>
  <si>
    <t>Rosalind</t>
  </si>
  <si>
    <t>Penelope</t>
  </si>
  <si>
    <t>Iona</t>
  </si>
  <si>
    <t>Gladys</t>
  </si>
  <si>
    <t>Giovanni</t>
  </si>
  <si>
    <t>Joaquin</t>
  </si>
  <si>
    <t>Nancy</t>
  </si>
  <si>
    <t>Casandra</t>
  </si>
  <si>
    <t>Aurora</t>
  </si>
  <si>
    <t>Desiree</t>
  </si>
  <si>
    <t>Brenda</t>
  </si>
  <si>
    <t>Dzile</t>
  </si>
  <si>
    <t>Bella</t>
  </si>
  <si>
    <t>Gilbert</t>
  </si>
  <si>
    <t>Carlos</t>
  </si>
  <si>
    <t>Elisnaida</t>
  </si>
  <si>
    <t>Anthony</t>
  </si>
  <si>
    <t>Jose</t>
  </si>
  <si>
    <t>Carolina</t>
  </si>
  <si>
    <t>Azuredee</t>
  </si>
  <si>
    <t>Rossana</t>
  </si>
  <si>
    <t>Celina</t>
  </si>
  <si>
    <t>Jasmine</t>
  </si>
  <si>
    <t>Noemi</t>
  </si>
  <si>
    <t>Leonardo</t>
  </si>
  <si>
    <t>Alex</t>
  </si>
  <si>
    <t>Stephen</t>
  </si>
  <si>
    <t>James</t>
  </si>
  <si>
    <t>Esther</t>
  </si>
  <si>
    <t>Donna</t>
  </si>
  <si>
    <t>Igor</t>
  </si>
  <si>
    <t>Marianne</t>
  </si>
  <si>
    <t>Katherine</t>
  </si>
  <si>
    <t>Andrea</t>
  </si>
  <si>
    <t>Linda</t>
  </si>
  <si>
    <t>Jinelle</t>
  </si>
  <si>
    <t>Robert</t>
  </si>
  <si>
    <t>Joyce</t>
  </si>
  <si>
    <t>Lawrence</t>
  </si>
  <si>
    <t>Francis</t>
  </si>
  <si>
    <t>Frances</t>
  </si>
  <si>
    <t>Maxine</t>
  </si>
  <si>
    <t>Edward</t>
  </si>
  <si>
    <t>Paula</t>
  </si>
  <si>
    <t>Karina</t>
  </si>
  <si>
    <t>Vincent</t>
  </si>
  <si>
    <t>Christine</t>
  </si>
  <si>
    <t>Rose</t>
  </si>
  <si>
    <t>Maryann</t>
  </si>
  <si>
    <t>Marie</t>
  </si>
  <si>
    <t>Frank</t>
  </si>
  <si>
    <t>Michael</t>
  </si>
  <si>
    <t>Sara</t>
  </si>
  <si>
    <t>Arif</t>
  </si>
  <si>
    <t>Hazel</t>
  </si>
  <si>
    <t>Su</t>
  </si>
  <si>
    <t>Surajlal</t>
  </si>
  <si>
    <t>Sammy</t>
  </si>
  <si>
    <t>Sudarshan</t>
  </si>
  <si>
    <t>Mohan</t>
  </si>
  <si>
    <t>Ajantha</t>
  </si>
  <si>
    <t>Emelita</t>
  </si>
  <si>
    <t>Lani</t>
  </si>
  <si>
    <t>Mohandai</t>
  </si>
  <si>
    <t>Anita</t>
  </si>
  <si>
    <t>Anura</t>
  </si>
  <si>
    <t>Tom</t>
  </si>
  <si>
    <t>Minaz</t>
  </si>
  <si>
    <t>Lynette</t>
  </si>
  <si>
    <t>Mike</t>
  </si>
  <si>
    <t>Tsu</t>
  </si>
  <si>
    <t>Marco</t>
  </si>
  <si>
    <t>Susan</t>
  </si>
  <si>
    <t>Jagpi</t>
  </si>
  <si>
    <t>Marlene</t>
  </si>
  <si>
    <t>Larry</t>
  </si>
  <si>
    <t>Nysheva-Starr</t>
  </si>
  <si>
    <t>Henrietta</t>
  </si>
  <si>
    <t>Nzingha</t>
  </si>
  <si>
    <t>Maurice</t>
  </si>
  <si>
    <t>Calbert</t>
  </si>
  <si>
    <t>Nozanie</t>
  </si>
  <si>
    <t>Feron</t>
  </si>
  <si>
    <t>Tanelle</t>
  </si>
  <si>
    <t>Nonci</t>
  </si>
  <si>
    <t>Clifford</t>
  </si>
  <si>
    <t>Pansy</t>
  </si>
  <si>
    <t>Deborah</t>
  </si>
  <si>
    <t>Patrice</t>
  </si>
  <si>
    <t>Marcia</t>
  </si>
  <si>
    <t>Dinah</t>
  </si>
  <si>
    <t>Ramond</t>
  </si>
  <si>
    <t>Simone</t>
  </si>
  <si>
    <t>Winston</t>
  </si>
  <si>
    <t>Lenford</t>
  </si>
  <si>
    <t>Agyei</t>
  </si>
  <si>
    <t>Sabrina</t>
  </si>
  <si>
    <t>Mary</t>
  </si>
  <si>
    <t>Raymond</t>
  </si>
  <si>
    <t>Wayne</t>
  </si>
  <si>
    <t>Burton</t>
  </si>
  <si>
    <t>Ayana</t>
  </si>
  <si>
    <t>Odetta</t>
  </si>
  <si>
    <t>Gwenethe</t>
  </si>
  <si>
    <t>Ursula</t>
  </si>
  <si>
    <t>Herman</t>
  </si>
  <si>
    <t>George</t>
  </si>
  <si>
    <t>Jeffrey</t>
  </si>
  <si>
    <t>Kwame</t>
  </si>
  <si>
    <t>Rory</t>
  </si>
  <si>
    <t>Reynaldo</t>
  </si>
  <si>
    <t>Hirfa</t>
  </si>
  <si>
    <t>Dorothy</t>
  </si>
  <si>
    <t>Dee</t>
  </si>
  <si>
    <t>Christiana</t>
  </si>
  <si>
    <t>Evelyn</t>
  </si>
  <si>
    <t>Janette</t>
  </si>
  <si>
    <t>Debra</t>
  </si>
  <si>
    <t>Kevin</t>
  </si>
  <si>
    <t>Ardell</t>
  </si>
  <si>
    <t>Laura</t>
  </si>
  <si>
    <t>Alice</t>
  </si>
  <si>
    <t>Curtis</t>
  </si>
  <si>
    <t>Alton</t>
  </si>
  <si>
    <t>Kerrea</t>
  </si>
  <si>
    <t>Denise</t>
  </si>
  <si>
    <t>Sandra</t>
  </si>
  <si>
    <t>Marcelle</t>
  </si>
  <si>
    <t>Gail</t>
  </si>
  <si>
    <t>Germaine</t>
  </si>
  <si>
    <t>Elizabeth</t>
  </si>
  <si>
    <t>Patricia</t>
  </si>
  <si>
    <t>Francesca</t>
  </si>
  <si>
    <t>Colin</t>
  </si>
  <si>
    <t>Stanford</t>
  </si>
  <si>
    <t>Kathleen</t>
  </si>
  <si>
    <t>Toyin</t>
  </si>
  <si>
    <t>Christina</t>
  </si>
  <si>
    <t>Edna</t>
  </si>
  <si>
    <t>Gina</t>
  </si>
  <si>
    <t>Magdalene</t>
  </si>
  <si>
    <t>Jahiz</t>
  </si>
  <si>
    <t>Malcolm</t>
  </si>
  <si>
    <t>Olive</t>
  </si>
  <si>
    <t>Celena</t>
  </si>
  <si>
    <t>Robyn</t>
  </si>
  <si>
    <t>Zuri</t>
  </si>
  <si>
    <t>Farrah</t>
  </si>
  <si>
    <t>Nakisha</t>
  </si>
  <si>
    <t>Oluremi</t>
  </si>
  <si>
    <t>Cecil</t>
  </si>
  <si>
    <t>Norman</t>
  </si>
  <si>
    <t>Yanick</t>
  </si>
  <si>
    <t>Jorge</t>
  </si>
  <si>
    <t>Diane</t>
  </si>
  <si>
    <t>Darlene</t>
  </si>
  <si>
    <t>Tanya</t>
  </si>
  <si>
    <t>Nigel</t>
  </si>
  <si>
    <t>Willie</t>
  </si>
  <si>
    <t>Keisha</t>
  </si>
  <si>
    <t>Michelle</t>
  </si>
  <si>
    <t>Glenda</t>
  </si>
  <si>
    <t>Kim</t>
  </si>
  <si>
    <t>Jonathan</t>
  </si>
  <si>
    <t>Tamiko</t>
  </si>
  <si>
    <t>Aparicia</t>
  </si>
  <si>
    <t>Danielle</t>
  </si>
  <si>
    <t>Shawana</t>
  </si>
  <si>
    <t>Renee</t>
  </si>
  <si>
    <t>Cordelia</t>
  </si>
  <si>
    <t>Marsha</t>
  </si>
  <si>
    <t>Timothy</t>
  </si>
  <si>
    <t>Kenneth</t>
  </si>
  <si>
    <t>Josephine</t>
  </si>
  <si>
    <t>Betty</t>
  </si>
  <si>
    <t>Daniel</t>
  </si>
  <si>
    <t>Jon</t>
  </si>
  <si>
    <t>Violet</t>
  </si>
  <si>
    <t>Carolyn</t>
  </si>
  <si>
    <t>Sophia</t>
  </si>
  <si>
    <t>Wilda</t>
  </si>
  <si>
    <t>Ghislaine</t>
  </si>
  <si>
    <t>Darryl</t>
  </si>
  <si>
    <t>Angelic</t>
  </si>
  <si>
    <t>Louis</t>
  </si>
  <si>
    <t>Patrick</t>
  </si>
  <si>
    <t>Lakisha</t>
  </si>
  <si>
    <t>David</t>
  </si>
  <si>
    <t>Dawn</t>
  </si>
  <si>
    <t>Beverly</t>
  </si>
  <si>
    <t>Emanuel</t>
  </si>
  <si>
    <t>Victory</t>
  </si>
  <si>
    <t>Beatrice</t>
  </si>
  <si>
    <t>Henderson</t>
  </si>
  <si>
    <t>Ronald</t>
  </si>
  <si>
    <t>Wesner</t>
  </si>
  <si>
    <t>Shannika</t>
  </si>
  <si>
    <t>Kakuna</t>
  </si>
  <si>
    <t>Kerry</t>
  </si>
  <si>
    <t>Marion</t>
  </si>
  <si>
    <t>Donnamarie</t>
  </si>
  <si>
    <t>Jim</t>
  </si>
  <si>
    <t>Stacey</t>
  </si>
  <si>
    <t>Yassah</t>
  </si>
  <si>
    <t>Ramona</t>
  </si>
  <si>
    <t>Pamela</t>
  </si>
  <si>
    <t>Tracy</t>
  </si>
  <si>
    <t>Georgia</t>
  </si>
  <si>
    <t>Cheryll</t>
  </si>
  <si>
    <t>Cheryl</t>
  </si>
  <si>
    <t>Ralph</t>
  </si>
  <si>
    <t>Dianne</t>
  </si>
  <si>
    <t>Hillary</t>
  </si>
  <si>
    <t>Neville</t>
  </si>
  <si>
    <t>Burke</t>
  </si>
  <si>
    <t>Carmel</t>
  </si>
  <si>
    <t>Lennox</t>
  </si>
  <si>
    <t>Kelton</t>
  </si>
  <si>
    <t>Gwendolyn</t>
  </si>
  <si>
    <t>Carron</t>
  </si>
  <si>
    <t>Shariann</t>
  </si>
  <si>
    <t>Isaac</t>
  </si>
  <si>
    <t>Dominie</t>
  </si>
  <si>
    <t>Gerald</t>
  </si>
  <si>
    <t>Sedley</t>
  </si>
  <si>
    <t>Alicia</t>
  </si>
  <si>
    <t>William</t>
  </si>
  <si>
    <t>Hernetha</t>
  </si>
  <si>
    <t>Nioka</t>
  </si>
  <si>
    <t>Kimberly</t>
  </si>
  <si>
    <t>Laurel</t>
  </si>
  <si>
    <t>Regina</t>
  </si>
  <si>
    <t>Myiesha</t>
  </si>
  <si>
    <t>Valerie</t>
  </si>
  <si>
    <t>Carl</t>
  </si>
  <si>
    <t>Alcides</t>
  </si>
  <si>
    <t>Carline</t>
  </si>
  <si>
    <t>Mohammed</t>
  </si>
  <si>
    <t>Carlyle</t>
  </si>
  <si>
    <t>Cassandra</t>
  </si>
  <si>
    <t>Ronie</t>
  </si>
  <si>
    <t>Lenworth</t>
  </si>
  <si>
    <t>Shirley</t>
  </si>
  <si>
    <t>Sharon</t>
  </si>
  <si>
    <t>Adriana</t>
  </si>
  <si>
    <t>Devon</t>
  </si>
  <si>
    <t>Vanise</t>
  </si>
  <si>
    <t>Arthur</t>
  </si>
  <si>
    <t>Darren</t>
  </si>
  <si>
    <t>Derrick</t>
  </si>
  <si>
    <t>Christnicha</t>
  </si>
  <si>
    <t>Mervyn</t>
  </si>
  <si>
    <t>Maudline</t>
  </si>
  <si>
    <t>Ivy</t>
  </si>
  <si>
    <t>Vancia</t>
  </si>
  <si>
    <t>Brian</t>
  </si>
  <si>
    <t>Verlethia</t>
  </si>
  <si>
    <t>Janulyn</t>
  </si>
  <si>
    <t>Ezlyn</t>
  </si>
  <si>
    <t>Eunice</t>
  </si>
  <si>
    <t>Janet</t>
  </si>
  <si>
    <t>Fredrick</t>
  </si>
  <si>
    <t>Rosalie</t>
  </si>
  <si>
    <t>Derek</t>
  </si>
  <si>
    <t>Kelly</t>
  </si>
  <si>
    <t>Romeo</t>
  </si>
  <si>
    <t>Karen</t>
  </si>
  <si>
    <t>Saleemah</t>
  </si>
  <si>
    <t>Sarah</t>
  </si>
  <si>
    <t>Wilbert</t>
  </si>
  <si>
    <t>Felipe</t>
  </si>
  <si>
    <t>Jeanette</t>
  </si>
  <si>
    <t>Beverley</t>
  </si>
  <si>
    <t>Jean Robert</t>
  </si>
  <si>
    <t>Mara</t>
  </si>
  <si>
    <t>Shawn</t>
  </si>
  <si>
    <t>Nanette</t>
  </si>
  <si>
    <t>Maddie</t>
  </si>
  <si>
    <t>Abiodun</t>
  </si>
  <si>
    <t>Melsada</t>
  </si>
  <si>
    <t>Jemma</t>
  </si>
  <si>
    <t>Khalid</t>
  </si>
  <si>
    <t>Kasey</t>
  </si>
  <si>
    <t>Tricia</t>
  </si>
  <si>
    <t>Compton</t>
  </si>
  <si>
    <t>Aishah</t>
  </si>
  <si>
    <t>Marva</t>
  </si>
  <si>
    <t>Perry</t>
  </si>
  <si>
    <t>Shannon</t>
  </si>
  <si>
    <t>Byron</t>
  </si>
  <si>
    <t>Nathaniel</t>
  </si>
  <si>
    <t>Ana</t>
  </si>
  <si>
    <t>Betsy</t>
  </si>
  <si>
    <t>Nicole</t>
  </si>
  <si>
    <t>Juan</t>
  </si>
  <si>
    <t>Vilma</t>
  </si>
  <si>
    <t>Ayanna</t>
  </si>
  <si>
    <t>Ismael</t>
  </si>
  <si>
    <t>Zoila</t>
  </si>
  <si>
    <t>Theresa</t>
  </si>
  <si>
    <t>Ramdeen</t>
  </si>
  <si>
    <t>Narcisa</t>
  </si>
  <si>
    <t>Diana</t>
  </si>
  <si>
    <t>Maureen</t>
  </si>
  <si>
    <t>Eva</t>
  </si>
  <si>
    <t>Brett</t>
  </si>
  <si>
    <t>Henry</t>
  </si>
  <si>
    <t>Teresa</t>
  </si>
  <si>
    <t>Rosemary</t>
  </si>
  <si>
    <t>Oscar</t>
  </si>
  <si>
    <t>June</t>
  </si>
  <si>
    <t>Danny</t>
  </si>
  <si>
    <t>Ashleigh</t>
  </si>
  <si>
    <t>Felicia</t>
  </si>
  <si>
    <t>Albert</t>
  </si>
  <si>
    <t>Maribel</t>
  </si>
  <si>
    <t>Fabio</t>
  </si>
  <si>
    <t>Emilio</t>
  </si>
  <si>
    <t>Ricardo</t>
  </si>
  <si>
    <t>Shivanne</t>
  </si>
  <si>
    <t>Sofia</t>
  </si>
  <si>
    <t>Rebecca</t>
  </si>
  <si>
    <t>Haitram</t>
  </si>
  <si>
    <t>Mary Frances</t>
  </si>
  <si>
    <t>Antonia</t>
  </si>
  <si>
    <t>Ivitt</t>
  </si>
  <si>
    <t>Carleater</t>
  </si>
  <si>
    <t>Wanda</t>
  </si>
  <si>
    <t>Hugo</t>
  </si>
  <si>
    <t>Domingo</t>
  </si>
  <si>
    <t>Ramon</t>
  </si>
  <si>
    <t>Herminia</t>
  </si>
  <si>
    <t>Fabiola</t>
  </si>
  <si>
    <t>Glaidy</t>
  </si>
  <si>
    <t>Adam</t>
  </si>
  <si>
    <t>Jennifer</t>
  </si>
  <si>
    <t>Husam</t>
  </si>
  <si>
    <t>Radi</t>
  </si>
  <si>
    <t>Anna</t>
  </si>
  <si>
    <t>Liborio</t>
  </si>
  <si>
    <t>Rhadames</t>
  </si>
  <si>
    <t>Luis</t>
  </si>
  <si>
    <t>Sivdat</t>
  </si>
  <si>
    <t>Dhanie</t>
  </si>
  <si>
    <t>Kamal</t>
  </si>
  <si>
    <t>Elfrida</t>
  </si>
  <si>
    <t>Iliana</t>
  </si>
  <si>
    <t>Fernando</t>
  </si>
  <si>
    <t>Vickey</t>
  </si>
  <si>
    <t>Aharon</t>
  </si>
  <si>
    <t>Kristy</t>
  </si>
  <si>
    <t>Ayman</t>
  </si>
  <si>
    <t>Christopher</t>
  </si>
  <si>
    <t>Errold</t>
  </si>
  <si>
    <t>Lindo</t>
  </si>
  <si>
    <t>Waleska</t>
  </si>
  <si>
    <t>Kelvin</t>
  </si>
  <si>
    <t>Doris</t>
  </si>
  <si>
    <t>Anselmo</t>
  </si>
  <si>
    <t>Julio</t>
  </si>
  <si>
    <t>Thao Thu</t>
  </si>
  <si>
    <t>Javier</t>
  </si>
  <si>
    <t>Santiago</t>
  </si>
  <si>
    <t>Hermilo</t>
  </si>
  <si>
    <t>Evanice</t>
  </si>
  <si>
    <t>Melissa</t>
  </si>
  <si>
    <t>Isani</t>
  </si>
  <si>
    <t>Samanta</t>
  </si>
  <si>
    <t>Alba</t>
  </si>
  <si>
    <t>Rolando</t>
  </si>
  <si>
    <t>Pedro</t>
  </si>
  <si>
    <t>Caonabo</t>
  </si>
  <si>
    <t>Naveed</t>
  </si>
  <si>
    <t>Solenny</t>
  </si>
  <si>
    <t>Deanna</t>
  </si>
  <si>
    <t>Craig</t>
  </si>
  <si>
    <t>Anastassia</t>
  </si>
  <si>
    <t>Taik</t>
  </si>
  <si>
    <t>Dierdre</t>
  </si>
  <si>
    <t>Segundo</t>
  </si>
  <si>
    <t>Saeed</t>
  </si>
  <si>
    <t>Deokali</t>
  </si>
  <si>
    <t>Debbie</t>
  </si>
  <si>
    <t>Adrienne</t>
  </si>
  <si>
    <t>Nelson</t>
  </si>
  <si>
    <t>Migdalia</t>
  </si>
  <si>
    <t>Ramoutar</t>
  </si>
  <si>
    <t>Jassen</t>
  </si>
  <si>
    <t>Beatriz</t>
  </si>
  <si>
    <t>Marina</t>
  </si>
  <si>
    <t>Shadeek</t>
  </si>
  <si>
    <t>Alexander</t>
  </si>
  <si>
    <t>Joan</t>
  </si>
  <si>
    <t>Angelique</t>
  </si>
  <si>
    <t>Fred</t>
  </si>
  <si>
    <t>Mary Jean</t>
  </si>
  <si>
    <t>Toni</t>
  </si>
  <si>
    <t>Isidore</t>
  </si>
  <si>
    <t>Bedrie</t>
  </si>
  <si>
    <t>Nicholas</t>
  </si>
  <si>
    <t>Laurie</t>
  </si>
  <si>
    <t>Dara</t>
  </si>
  <si>
    <t>Rosalina</t>
  </si>
  <si>
    <t>Phyllis</t>
  </si>
  <si>
    <t>Montague</t>
  </si>
  <si>
    <t>Lorraine</t>
  </si>
  <si>
    <t>Konstantina</t>
  </si>
  <si>
    <t>Betteann</t>
  </si>
  <si>
    <t>Buruch</t>
  </si>
  <si>
    <t>Boris</t>
  </si>
  <si>
    <t>Neil</t>
  </si>
  <si>
    <t>Claudette</t>
  </si>
  <si>
    <t>Stacy</t>
  </si>
  <si>
    <t>Eileen</t>
  </si>
  <si>
    <t>Martin</t>
  </si>
  <si>
    <t>Sean</t>
  </si>
  <si>
    <t>Thomas</t>
  </si>
  <si>
    <t>Lori</t>
  </si>
  <si>
    <t>Nick</t>
  </si>
  <si>
    <t>Cristofer</t>
  </si>
  <si>
    <t>Suzan</t>
  </si>
  <si>
    <t>Vincenza</t>
  </si>
  <si>
    <t>Julie</t>
  </si>
  <si>
    <t>Scott</t>
  </si>
  <si>
    <t>Tara</t>
  </si>
  <si>
    <t>Nikos</t>
  </si>
  <si>
    <t>Ann</t>
  </si>
  <si>
    <t>Maryanne</t>
  </si>
  <si>
    <t>Stavros</t>
  </si>
  <si>
    <t>Constance</t>
  </si>
  <si>
    <t>Peter</t>
  </si>
  <si>
    <t>Oksana</t>
  </si>
  <si>
    <t>Alfred</t>
  </si>
  <si>
    <t>Violeta</t>
  </si>
  <si>
    <t>Oleg</t>
  </si>
  <si>
    <t>Rudy</t>
  </si>
  <si>
    <t>Alona</t>
  </si>
  <si>
    <t>Glenn</t>
  </si>
  <si>
    <t>Jackie</t>
  </si>
  <si>
    <t>Eleanor</t>
  </si>
  <si>
    <t>Florence</t>
  </si>
  <si>
    <t>Barbra</t>
  </si>
  <si>
    <t>Vasilios</t>
  </si>
  <si>
    <t>Solomon</t>
  </si>
  <si>
    <t>Hamayoun</t>
  </si>
  <si>
    <t>Wilson</t>
  </si>
  <si>
    <t>Bennett</t>
  </si>
  <si>
    <t>Miah</t>
  </si>
  <si>
    <t>Dela Santa</t>
  </si>
  <si>
    <t>Okuyama</t>
  </si>
  <si>
    <t>Crick</t>
  </si>
  <si>
    <t>Johnson</t>
  </si>
  <si>
    <t>Cook</t>
  </si>
  <si>
    <t>Persaud</t>
  </si>
  <si>
    <t>Baisden</t>
  </si>
  <si>
    <t>Fortune</t>
  </si>
  <si>
    <t>Jackson</t>
  </si>
  <si>
    <t>Gaskin</t>
  </si>
  <si>
    <t>Luzincourt</t>
  </si>
  <si>
    <t>Hall</t>
  </si>
  <si>
    <t>Wright</t>
  </si>
  <si>
    <t>Buckley</t>
  </si>
  <si>
    <t>Bermudez</t>
  </si>
  <si>
    <t>McDonald</t>
  </si>
  <si>
    <t>Idfresne</t>
  </si>
  <si>
    <t>Gables</t>
  </si>
  <si>
    <t>Williams</t>
  </si>
  <si>
    <t>Morgan</t>
  </si>
  <si>
    <t>King</t>
  </si>
  <si>
    <t>Miller</t>
  </si>
  <si>
    <t>Grant</t>
  </si>
  <si>
    <t>Powell</t>
  </si>
  <si>
    <t>Dorsin</t>
  </si>
  <si>
    <t>Ross</t>
  </si>
  <si>
    <t>Morain</t>
  </si>
  <si>
    <t>Alston</t>
  </si>
  <si>
    <t>Ulysse</t>
  </si>
  <si>
    <t>Clark Dunston</t>
  </si>
  <si>
    <t>Yates</t>
  </si>
  <si>
    <t>Sanford</t>
  </si>
  <si>
    <t>Iyalekhue</t>
  </si>
  <si>
    <t>Coleman</t>
  </si>
  <si>
    <t>Sealy</t>
  </si>
  <si>
    <t>OGunka</t>
  </si>
  <si>
    <t>Davis</t>
  </si>
  <si>
    <t>Cheeseboro</t>
  </si>
  <si>
    <t>DELANY</t>
  </si>
  <si>
    <t>Wise</t>
  </si>
  <si>
    <t>Sarauw</t>
  </si>
  <si>
    <t>Owens</t>
  </si>
  <si>
    <t>Clanton</t>
  </si>
  <si>
    <t>Reynolds</t>
  </si>
  <si>
    <t>Alabi</t>
  </si>
  <si>
    <t>Kinsler</t>
  </si>
  <si>
    <t>Sevier</t>
  </si>
  <si>
    <t>Cuffee</t>
  </si>
  <si>
    <t>Monroe</t>
  </si>
  <si>
    <t>Jones</t>
  </si>
  <si>
    <t>Tucker</t>
  </si>
  <si>
    <t>Lucas</t>
  </si>
  <si>
    <t>Besumbu</t>
  </si>
  <si>
    <t>Almonte</t>
  </si>
  <si>
    <t>Chi</t>
  </si>
  <si>
    <t>Asencio</t>
  </si>
  <si>
    <t>Faustino</t>
  </si>
  <si>
    <t>Gil</t>
  </si>
  <si>
    <t>Brahaspat</t>
  </si>
  <si>
    <t>Spina</t>
  </si>
  <si>
    <t>Miarrostami</t>
  </si>
  <si>
    <t>Willis</t>
  </si>
  <si>
    <t>Drain</t>
  </si>
  <si>
    <t>Gray</t>
  </si>
  <si>
    <t>Dominguez</t>
  </si>
  <si>
    <t>Sevorwell</t>
  </si>
  <si>
    <t>Jimenez</t>
  </si>
  <si>
    <t>Pincay</t>
  </si>
  <si>
    <t>Budhraj</t>
  </si>
  <si>
    <t>Painchaud</t>
  </si>
  <si>
    <t>Ishmael</t>
  </si>
  <si>
    <t>Miuccio</t>
  </si>
  <si>
    <t>Schoberl</t>
  </si>
  <si>
    <t>Milla</t>
  </si>
  <si>
    <t>Padilla</t>
  </si>
  <si>
    <t>Rivera</t>
  </si>
  <si>
    <t>Young</t>
  </si>
  <si>
    <t>Navarro</t>
  </si>
  <si>
    <t>Islam</t>
  </si>
  <si>
    <t>Hart</t>
  </si>
  <si>
    <t>Figuereo</t>
  </si>
  <si>
    <t>Jarmond</t>
  </si>
  <si>
    <t>Soto</t>
  </si>
  <si>
    <t>Zapata</t>
  </si>
  <si>
    <t>Maisonet</t>
  </si>
  <si>
    <t>Rios</t>
  </si>
  <si>
    <t>Gonzalez</t>
  </si>
  <si>
    <t>Suarez</t>
  </si>
  <si>
    <t>Devins</t>
  </si>
  <si>
    <t>Rodriguez</t>
  </si>
  <si>
    <t>Tompkins</t>
  </si>
  <si>
    <t>Frangu</t>
  </si>
  <si>
    <t>Prebish</t>
  </si>
  <si>
    <t>Neal</t>
  </si>
  <si>
    <t>Belisle</t>
  </si>
  <si>
    <t>Perez</t>
  </si>
  <si>
    <t>Corporan</t>
  </si>
  <si>
    <t>Nasti</t>
  </si>
  <si>
    <t>Caldero</t>
  </si>
  <si>
    <t>Pauta</t>
  </si>
  <si>
    <t>Carrion</t>
  </si>
  <si>
    <t>Reed</t>
  </si>
  <si>
    <t>Beltre</t>
  </si>
  <si>
    <t>Bellocci</t>
  </si>
  <si>
    <t>Hoffman</t>
  </si>
  <si>
    <t>Sasala</t>
  </si>
  <si>
    <t>Kane</t>
  </si>
  <si>
    <t>Buonamano</t>
  </si>
  <si>
    <t>Herz</t>
  </si>
  <si>
    <t>Wessels</t>
  </si>
  <si>
    <t>Shikhman</t>
  </si>
  <si>
    <t>Callea</t>
  </si>
  <si>
    <t>Clarke</t>
  </si>
  <si>
    <t>Connors</t>
  </si>
  <si>
    <t>Cohen</t>
  </si>
  <si>
    <t>Sanders</t>
  </si>
  <si>
    <t>Kearney</t>
  </si>
  <si>
    <t>Seggio</t>
  </si>
  <si>
    <t>Sorrento</t>
  </si>
  <si>
    <t>Perri</t>
  </si>
  <si>
    <t>Buccellato</t>
  </si>
  <si>
    <t>Sajdak</t>
  </si>
  <si>
    <t>Poggioli</t>
  </si>
  <si>
    <t>Opperman</t>
  </si>
  <si>
    <t>Gentile</t>
  </si>
  <si>
    <t>Massa</t>
  </si>
  <si>
    <t>Novosyolova</t>
  </si>
  <si>
    <t>Novelli</t>
  </si>
  <si>
    <t>Adragna</t>
  </si>
  <si>
    <t>Marino</t>
  </si>
  <si>
    <t>Alejandria</t>
  </si>
  <si>
    <t>Begley</t>
  </si>
  <si>
    <t>Ciminello</t>
  </si>
  <si>
    <t>Rugolo</t>
  </si>
  <si>
    <t>Montuori</t>
  </si>
  <si>
    <t>Cacioppo</t>
  </si>
  <si>
    <t>Buono</t>
  </si>
  <si>
    <t>Nizamuddeen</t>
  </si>
  <si>
    <t>Straughn</t>
  </si>
  <si>
    <t>Park</t>
  </si>
  <si>
    <t>Singh</t>
  </si>
  <si>
    <t>Chan</t>
  </si>
  <si>
    <t>Alirkan</t>
  </si>
  <si>
    <t>Thind</t>
  </si>
  <si>
    <t>Herath</t>
  </si>
  <si>
    <t>Harrison</t>
  </si>
  <si>
    <t>McNally</t>
  </si>
  <si>
    <t>Parmesar</t>
  </si>
  <si>
    <t>Thapa</t>
  </si>
  <si>
    <t>Dissanayake</t>
  </si>
  <si>
    <t>Kabani</t>
  </si>
  <si>
    <t>Azar</t>
  </si>
  <si>
    <t>Ramlogan</t>
  </si>
  <si>
    <t>Hsu</t>
  </si>
  <si>
    <t>Delvois</t>
  </si>
  <si>
    <t>Lee</t>
  </si>
  <si>
    <t>Irish</t>
  </si>
  <si>
    <t>Holmes</t>
  </si>
  <si>
    <t>Ambrister</t>
  </si>
  <si>
    <t>No Last Name</t>
  </si>
  <si>
    <t>Ilomudio</t>
  </si>
  <si>
    <t>Crawford</t>
  </si>
  <si>
    <t>Urquhart Jr</t>
  </si>
  <si>
    <t>Saint-Val</t>
  </si>
  <si>
    <t>Armstead</t>
  </si>
  <si>
    <t>Pierre-Antoine</t>
  </si>
  <si>
    <t>Olive-Dones</t>
  </si>
  <si>
    <t>Perkins</t>
  </si>
  <si>
    <t>Harris</t>
  </si>
  <si>
    <t>Davis-Josephs</t>
  </si>
  <si>
    <t>Picot</t>
  </si>
  <si>
    <t>Bond</t>
  </si>
  <si>
    <t>Warren</t>
  </si>
  <si>
    <t>Stewart</t>
  </si>
  <si>
    <t>Leone</t>
  </si>
  <si>
    <t>Dell</t>
  </si>
  <si>
    <t>Tyehimba-Green</t>
  </si>
  <si>
    <t>Sherwood</t>
  </si>
  <si>
    <t>Benjamin</t>
  </si>
  <si>
    <t>Broadnax</t>
  </si>
  <si>
    <t>Spears</t>
  </si>
  <si>
    <t>Ewart</t>
  </si>
  <si>
    <t>Rush</t>
  </si>
  <si>
    <t>Morrison</t>
  </si>
  <si>
    <t>Bourne</t>
  </si>
  <si>
    <t>Govia</t>
  </si>
  <si>
    <t>Bishop</t>
  </si>
  <si>
    <t>Culver</t>
  </si>
  <si>
    <t>Kerten</t>
  </si>
  <si>
    <t>Charles-Pierre</t>
  </si>
  <si>
    <t>Edwards</t>
  </si>
  <si>
    <t>Johannes</t>
  </si>
  <si>
    <t>Howell</t>
  </si>
  <si>
    <t>Gilmore</t>
  </si>
  <si>
    <t>Hunt</t>
  </si>
  <si>
    <t>Brooks</t>
  </si>
  <si>
    <t>Brown</t>
  </si>
  <si>
    <t>Cooper-Jones</t>
  </si>
  <si>
    <t>Babalola</t>
  </si>
  <si>
    <t>Hayles</t>
  </si>
  <si>
    <t>Lewis</t>
  </si>
  <si>
    <t>Goodwin</t>
  </si>
  <si>
    <t>Hailey</t>
  </si>
  <si>
    <t>McCall</t>
  </si>
  <si>
    <t>Saulsbury</t>
  </si>
  <si>
    <t>Simmons</t>
  </si>
  <si>
    <t>Soares</t>
  </si>
  <si>
    <t>Wynn</t>
  </si>
  <si>
    <t>Registe</t>
  </si>
  <si>
    <t>Lawson</t>
  </si>
  <si>
    <t>Quashie</t>
  </si>
  <si>
    <t>Myles</t>
  </si>
  <si>
    <t>Thevenin</t>
  </si>
  <si>
    <t>Paisley</t>
  </si>
  <si>
    <t>Cox</t>
  </si>
  <si>
    <t>Adekoya</t>
  </si>
  <si>
    <t>Adams</t>
  </si>
  <si>
    <t>Delence</t>
  </si>
  <si>
    <t>Pollard</t>
  </si>
  <si>
    <t>Hayden</t>
  </si>
  <si>
    <t>Odom</t>
  </si>
  <si>
    <t>Brutus</t>
  </si>
  <si>
    <t>Montgomery</t>
  </si>
  <si>
    <t>Duberry</t>
  </si>
  <si>
    <t>Nweke</t>
  </si>
  <si>
    <t>Dupass</t>
  </si>
  <si>
    <t>Smartt</t>
  </si>
  <si>
    <t>Thompson</t>
  </si>
  <si>
    <t>Simon</t>
  </si>
  <si>
    <t>Cheeseman</t>
  </si>
  <si>
    <t>Dickerson</t>
  </si>
  <si>
    <t>Gee</t>
  </si>
  <si>
    <t>Lafontant</t>
  </si>
  <si>
    <t>Awolowo</t>
  </si>
  <si>
    <t>Irvin</t>
  </si>
  <si>
    <t>Livingston</t>
  </si>
  <si>
    <t>Annan</t>
  </si>
  <si>
    <t>Saintil</t>
  </si>
  <si>
    <t>Steven</t>
  </si>
  <si>
    <t>Friesan</t>
  </si>
  <si>
    <t>Foster</t>
  </si>
  <si>
    <t>Barnes</t>
  </si>
  <si>
    <t>Jones III</t>
  </si>
  <si>
    <t>Noto</t>
  </si>
  <si>
    <t>Mcclymont</t>
  </si>
  <si>
    <t>Ammon</t>
  </si>
  <si>
    <t>Clark</t>
  </si>
  <si>
    <t>Flores</t>
  </si>
  <si>
    <t>Gipson</t>
  </si>
  <si>
    <t>Barnett</t>
  </si>
  <si>
    <t>Rodgers</t>
  </si>
  <si>
    <t>Burrows</t>
  </si>
  <si>
    <t>Roach</t>
  </si>
  <si>
    <t>Howard</t>
  </si>
  <si>
    <t>Giscombe</t>
  </si>
  <si>
    <t>Black</t>
  </si>
  <si>
    <t>Carter</t>
  </si>
  <si>
    <t>Denesha</t>
  </si>
  <si>
    <t>Stevens</t>
  </si>
  <si>
    <t>Gatewood</t>
  </si>
  <si>
    <t>Berryman</t>
  </si>
  <si>
    <t>Harville</t>
  </si>
  <si>
    <t>McClellan</t>
  </si>
  <si>
    <t>Phillips</t>
  </si>
  <si>
    <t>Liverpool</t>
  </si>
  <si>
    <t>Miles</t>
  </si>
  <si>
    <t>Browne</t>
  </si>
  <si>
    <t>Acosta-Anderson</t>
  </si>
  <si>
    <t>Viala</t>
  </si>
  <si>
    <t>Greene</t>
  </si>
  <si>
    <t>McGirt</t>
  </si>
  <si>
    <t>Virgo</t>
  </si>
  <si>
    <t>Pressley</t>
  </si>
  <si>
    <t>Kimble</t>
  </si>
  <si>
    <t>Cooper</t>
  </si>
  <si>
    <t>Brewer</t>
  </si>
  <si>
    <t>Blake</t>
  </si>
  <si>
    <t>Green</t>
  </si>
  <si>
    <t>Haynes</t>
  </si>
  <si>
    <t>Robinson</t>
  </si>
  <si>
    <t>Moore</t>
  </si>
  <si>
    <t>Prescod</t>
  </si>
  <si>
    <t>Rander</t>
  </si>
  <si>
    <t>Hunte</t>
  </si>
  <si>
    <t>Osias</t>
  </si>
  <si>
    <t>Kerina</t>
  </si>
  <si>
    <t>Folk</t>
  </si>
  <si>
    <t>Farnum</t>
  </si>
  <si>
    <t>Hamlin-McLeod</t>
  </si>
  <si>
    <t>St. Louis</t>
  </si>
  <si>
    <t>Chea</t>
  </si>
  <si>
    <t>Tomlinson</t>
  </si>
  <si>
    <t>Hernandez</t>
  </si>
  <si>
    <t>Tyndall</t>
  </si>
  <si>
    <t>Walters-Smith</t>
  </si>
  <si>
    <t>Ramsey-Francois</t>
  </si>
  <si>
    <t>Sullivan</t>
  </si>
  <si>
    <t>Odemene</t>
  </si>
  <si>
    <t>Patterson</t>
  </si>
  <si>
    <t>Kennedy</t>
  </si>
  <si>
    <t>Hayward</t>
  </si>
  <si>
    <t>Stephens</t>
  </si>
  <si>
    <t>Cockfield</t>
  </si>
  <si>
    <t>Singleton</t>
  </si>
  <si>
    <t>Abernethy</t>
  </si>
  <si>
    <t>Jarvis</t>
  </si>
  <si>
    <t>Kamalu</t>
  </si>
  <si>
    <t>Crump</t>
  </si>
  <si>
    <t>Moise</t>
  </si>
  <si>
    <t>Campbell</t>
  </si>
  <si>
    <t>Bullock</t>
  </si>
  <si>
    <t>Glover</t>
  </si>
  <si>
    <t>Reid</t>
  </si>
  <si>
    <t>Favours</t>
  </si>
  <si>
    <t>Noble</t>
  </si>
  <si>
    <t>Laing</t>
  </si>
  <si>
    <t>Roberts</t>
  </si>
  <si>
    <t>Gooding</t>
  </si>
  <si>
    <t>Smith</t>
  </si>
  <si>
    <t>Gouin</t>
  </si>
  <si>
    <t>Gai-Baldeh</t>
  </si>
  <si>
    <t>Cooley</t>
  </si>
  <si>
    <t>Luxama</t>
  </si>
  <si>
    <t>Brioche</t>
  </si>
  <si>
    <t>Stephenson</t>
  </si>
  <si>
    <t>Carrington</t>
  </si>
  <si>
    <t>Hamilton Ford</t>
  </si>
  <si>
    <t>Bacon</t>
  </si>
  <si>
    <t>Downing</t>
  </si>
  <si>
    <t>Danforth</t>
  </si>
  <si>
    <t>Elliott</t>
  </si>
  <si>
    <t>Sheard</t>
  </si>
  <si>
    <t>Deas</t>
  </si>
  <si>
    <t>Chester</t>
  </si>
  <si>
    <t>Prophete</t>
  </si>
  <si>
    <t>Watson</t>
  </si>
  <si>
    <t>Julien</t>
  </si>
  <si>
    <t>Richardson</t>
  </si>
  <si>
    <t>Taylor</t>
  </si>
  <si>
    <t>Cisse</t>
  </si>
  <si>
    <t>McKanic</t>
  </si>
  <si>
    <t>White</t>
  </si>
  <si>
    <t>Corte-Gray</t>
  </si>
  <si>
    <t>Jervis</t>
  </si>
  <si>
    <t>Grandison</t>
  </si>
  <si>
    <t>Meighan</t>
  </si>
  <si>
    <t>Walther</t>
  </si>
  <si>
    <t>McAllister</t>
  </si>
  <si>
    <t>Cooleman</t>
  </si>
  <si>
    <t>Moody Etchison</t>
  </si>
  <si>
    <t>Belgrave</t>
  </si>
  <si>
    <t>Little</t>
  </si>
  <si>
    <t>Blackburn</t>
  </si>
  <si>
    <t>Southwell</t>
  </si>
  <si>
    <t>Strong</t>
  </si>
  <si>
    <t>Commodore</t>
  </si>
  <si>
    <t>Small</t>
  </si>
  <si>
    <t>Saint-Jean</t>
  </si>
  <si>
    <t>Henriquez</t>
  </si>
  <si>
    <t>Segui</t>
  </si>
  <si>
    <t>Hariston</t>
  </si>
  <si>
    <t>Ford</t>
  </si>
  <si>
    <t>Cumberbatch</t>
  </si>
  <si>
    <t>Valentine</t>
  </si>
  <si>
    <t>Olagunju</t>
  </si>
  <si>
    <t>Rhoden</t>
  </si>
  <si>
    <t>Sertima</t>
  </si>
  <si>
    <t>Hardy</t>
  </si>
  <si>
    <t>Duncan</t>
  </si>
  <si>
    <t>Ferreira</t>
  </si>
  <si>
    <t>Benedith</t>
  </si>
  <si>
    <t>Bramble</t>
  </si>
  <si>
    <t>Acosta-Aquino</t>
  </si>
  <si>
    <t>Ramirez</t>
  </si>
  <si>
    <t>Merino</t>
  </si>
  <si>
    <t>Bruno</t>
  </si>
  <si>
    <t>Marks</t>
  </si>
  <si>
    <t>Rosario</t>
  </si>
  <si>
    <t>Jerel-Best</t>
  </si>
  <si>
    <t>Champion</t>
  </si>
  <si>
    <t>Patino</t>
  </si>
  <si>
    <t>Persad</t>
  </si>
  <si>
    <t>Merizalde</t>
  </si>
  <si>
    <t>Houchen</t>
  </si>
  <si>
    <t>Roman Ramsay</t>
  </si>
  <si>
    <t>Reyes</t>
  </si>
  <si>
    <t>Paris</t>
  </si>
  <si>
    <t>Lendor</t>
  </si>
  <si>
    <t>Solano</t>
  </si>
  <si>
    <t>Salazar</t>
  </si>
  <si>
    <t>Allison</t>
  </si>
  <si>
    <t>Calvanico</t>
  </si>
  <si>
    <t>Michalopoulos</t>
  </si>
  <si>
    <t>Archibald</t>
  </si>
  <si>
    <t>Samuels</t>
  </si>
  <si>
    <t>Negron</t>
  </si>
  <si>
    <t>Marcano</t>
  </si>
  <si>
    <t>Beache</t>
  </si>
  <si>
    <t>Paniagua</t>
  </si>
  <si>
    <t>Velazquez</t>
  </si>
  <si>
    <t>Battle</t>
  </si>
  <si>
    <t>Cortes-Goolcharran</t>
  </si>
  <si>
    <t>Urquizo</t>
  </si>
  <si>
    <t>Vazquez</t>
  </si>
  <si>
    <t>Caceres</t>
  </si>
  <si>
    <t>Heinz</t>
  </si>
  <si>
    <t>Lopez</t>
  </si>
  <si>
    <t>Osorio</t>
  </si>
  <si>
    <t>Martinez</t>
  </si>
  <si>
    <t>Vasquez</t>
  </si>
  <si>
    <t>Caban</t>
  </si>
  <si>
    <t>Kirton</t>
  </si>
  <si>
    <t>Nerey</t>
  </si>
  <si>
    <t>Mejia</t>
  </si>
  <si>
    <t>Espinoza</t>
  </si>
  <si>
    <t>Alvarez</t>
  </si>
  <si>
    <t>Guzman</t>
  </si>
  <si>
    <t>Mercado</t>
  </si>
  <si>
    <t>Soler</t>
  </si>
  <si>
    <t>Watkins</t>
  </si>
  <si>
    <t>Toapanta</t>
  </si>
  <si>
    <t>Diaz</t>
  </si>
  <si>
    <t>Elsendiouny</t>
  </si>
  <si>
    <t>Hasan</t>
  </si>
  <si>
    <t>Barillas</t>
  </si>
  <si>
    <t>Munoz</t>
  </si>
  <si>
    <t>Arcila</t>
  </si>
  <si>
    <t>Vargas</t>
  </si>
  <si>
    <t>Mercedes</t>
  </si>
  <si>
    <t>Chavez</t>
  </si>
  <si>
    <t>Durjan</t>
  </si>
  <si>
    <t>Mangar</t>
  </si>
  <si>
    <t>Torres</t>
  </si>
  <si>
    <t>Punwasi</t>
  </si>
  <si>
    <t>Bereguete</t>
  </si>
  <si>
    <t>Garcia</t>
  </si>
  <si>
    <t>Jaquez</t>
  </si>
  <si>
    <t>Benabe</t>
  </si>
  <si>
    <t>Lorenzi</t>
  </si>
  <si>
    <t>Cherns</t>
  </si>
  <si>
    <t>Ramos</t>
  </si>
  <si>
    <t>Phipps</t>
  </si>
  <si>
    <t>Soliman</t>
  </si>
  <si>
    <t>Archer</t>
  </si>
  <si>
    <t>Woolward</t>
  </si>
  <si>
    <t>Bodden</t>
  </si>
  <si>
    <t>Wilkinson</t>
  </si>
  <si>
    <t>Lemus</t>
  </si>
  <si>
    <t>Ballyram</t>
  </si>
  <si>
    <t>Luna</t>
  </si>
  <si>
    <t>Morell</t>
  </si>
  <si>
    <t>Nguyen</t>
  </si>
  <si>
    <t>Pena</t>
  </si>
  <si>
    <t>Moran</t>
  </si>
  <si>
    <t>Ceballo</t>
  </si>
  <si>
    <t>Pineda-Delgado</t>
  </si>
  <si>
    <t>Benton</t>
  </si>
  <si>
    <t>Cabezudo</t>
  </si>
  <si>
    <t>Dinanno</t>
  </si>
  <si>
    <t>Paltoo</t>
  </si>
  <si>
    <t>Morales</t>
  </si>
  <si>
    <t>Andrade</t>
  </si>
  <si>
    <t>Sanchez</t>
  </si>
  <si>
    <t>Flaquer</t>
  </si>
  <si>
    <t>Husain</t>
  </si>
  <si>
    <t>Vega</t>
  </si>
  <si>
    <t>De Leon</t>
  </si>
  <si>
    <t>De oleo</t>
  </si>
  <si>
    <t>Copes</t>
  </si>
  <si>
    <t>Murillo</t>
  </si>
  <si>
    <t>Radix</t>
  </si>
  <si>
    <t>Kapoustina</t>
  </si>
  <si>
    <t>Pascualini</t>
  </si>
  <si>
    <t>Giles</t>
  </si>
  <si>
    <t>Casimir</t>
  </si>
  <si>
    <t>Guaman</t>
  </si>
  <si>
    <t>Aobad</t>
  </si>
  <si>
    <t>Castillo</t>
  </si>
  <si>
    <t>Molini</t>
  </si>
  <si>
    <t>Jibodh</t>
  </si>
  <si>
    <t>Gibson</t>
  </si>
  <si>
    <t>Morton-George</t>
  </si>
  <si>
    <t>Gutierrez</t>
  </si>
  <si>
    <t>Gonzalez Martinez</t>
  </si>
  <si>
    <t>Vega Gonzalez</t>
  </si>
  <si>
    <t>Anariba</t>
  </si>
  <si>
    <t>Ghanny</t>
  </si>
  <si>
    <t>Mahadio</t>
  </si>
  <si>
    <t>Valenzuela</t>
  </si>
  <si>
    <t>Duran</t>
  </si>
  <si>
    <t>Wenz</t>
  </si>
  <si>
    <t>Badyna</t>
  </si>
  <si>
    <t>Caporusso</t>
  </si>
  <si>
    <t>Carlo</t>
  </si>
  <si>
    <t>Awad</t>
  </si>
  <si>
    <t>Ray-Torres</t>
  </si>
  <si>
    <t>Ferrara</t>
  </si>
  <si>
    <t>Monahan</t>
  </si>
  <si>
    <t>Agalio</t>
  </si>
  <si>
    <t>Gelnik</t>
  </si>
  <si>
    <t>Schlossman</t>
  </si>
  <si>
    <t>Isemowski</t>
  </si>
  <si>
    <t>DiMaio</t>
  </si>
  <si>
    <t>Grimes</t>
  </si>
  <si>
    <t>Sanoff</t>
  </si>
  <si>
    <t>Jankowski</t>
  </si>
  <si>
    <t>Devoll</t>
  </si>
  <si>
    <t>Antonellis</t>
  </si>
  <si>
    <t>Parrinello</t>
  </si>
  <si>
    <t>Giordano</t>
  </si>
  <si>
    <t>Frey</t>
  </si>
  <si>
    <t>DeStefano</t>
  </si>
  <si>
    <t>Rekoutis</t>
  </si>
  <si>
    <t>Corso</t>
  </si>
  <si>
    <t>Creegan</t>
  </si>
  <si>
    <t>Klein</t>
  </si>
  <si>
    <t>Erenburg</t>
  </si>
  <si>
    <t>Gioia</t>
  </si>
  <si>
    <t>LaGreca</t>
  </si>
  <si>
    <t>Gill</t>
  </si>
  <si>
    <t>Cirello</t>
  </si>
  <si>
    <t>Lombardo</t>
  </si>
  <si>
    <t>Karrin</t>
  </si>
  <si>
    <t>Marin</t>
  </si>
  <si>
    <t>Franzone</t>
  </si>
  <si>
    <t>Magrini</t>
  </si>
  <si>
    <t>Skouros</t>
  </si>
  <si>
    <t>Bongiorno</t>
  </si>
  <si>
    <t>Abbate</t>
  </si>
  <si>
    <t>Cardone</t>
  </si>
  <si>
    <t>Musumeci</t>
  </si>
  <si>
    <t>Siragusa</t>
  </si>
  <si>
    <t>Tell</t>
  </si>
  <si>
    <t>Severino</t>
  </si>
  <si>
    <t>Vulovich</t>
  </si>
  <si>
    <t>Arteca</t>
  </si>
  <si>
    <t>Ida</t>
  </si>
  <si>
    <t>Cimine</t>
  </si>
  <si>
    <t>Pallotta</t>
  </si>
  <si>
    <t>Macpherson</t>
  </si>
  <si>
    <t>Konnaris</t>
  </si>
  <si>
    <t>Curreri</t>
  </si>
  <si>
    <t>Hook</t>
  </si>
  <si>
    <t>Haramis</t>
  </si>
  <si>
    <t>Pennacchio</t>
  </si>
  <si>
    <t>Troeller</t>
  </si>
  <si>
    <t>Safronova</t>
  </si>
  <si>
    <t>Kluska</t>
  </si>
  <si>
    <t>Urban</t>
  </si>
  <si>
    <t>Kljajic</t>
  </si>
  <si>
    <t>Khutoretsky</t>
  </si>
  <si>
    <t>Lester</t>
  </si>
  <si>
    <t>Tarniak</t>
  </si>
  <si>
    <t>Barbato</t>
  </si>
  <si>
    <t>Hilderbrandt</t>
  </si>
  <si>
    <t>Herbst</t>
  </si>
  <si>
    <t>Guarino</t>
  </si>
  <si>
    <t>Benevento</t>
  </si>
  <si>
    <t>Rizzi</t>
  </si>
  <si>
    <t>Adamo</t>
  </si>
  <si>
    <t>Maragni</t>
  </si>
  <si>
    <t>Fennell</t>
  </si>
  <si>
    <t>Mcelwee</t>
  </si>
  <si>
    <t>Cartier</t>
  </si>
  <si>
    <t>Collins</t>
  </si>
  <si>
    <t>Roussos</t>
  </si>
  <si>
    <t>Friedman</t>
  </si>
  <si>
    <t>Chase</t>
  </si>
  <si>
    <t>Carrington Mortgage Services</t>
  </si>
  <si>
    <t>Nationstar Mortgage</t>
  </si>
  <si>
    <t>Wells Fargo Bank, NA</t>
  </si>
  <si>
    <t>Ocwen</t>
  </si>
  <si>
    <t>Ocwen Loan Servicing</t>
  </si>
  <si>
    <t>Nation Star</t>
  </si>
  <si>
    <t>Select Portfolio Servicing, Inc.</t>
  </si>
  <si>
    <t>Gregory Funding</t>
  </si>
  <si>
    <t>Wall Street Mortgage Bankers</t>
  </si>
  <si>
    <t>Caliber Home Loans</t>
  </si>
  <si>
    <t>Mid-Island Mortgage</t>
  </si>
  <si>
    <t>JP Morgan Chase Bank NA</t>
  </si>
  <si>
    <t>Ditech.com</t>
  </si>
  <si>
    <t>M&amp;T Bank</t>
  </si>
  <si>
    <t>MGC Mortgage, Inc.</t>
  </si>
  <si>
    <t>Everhome Mortgage</t>
  </si>
  <si>
    <t>Select Loan Servicing</t>
  </si>
  <si>
    <t>CMG Mortgage Inc.</t>
  </si>
  <si>
    <t>Wells Fargo Home Mortgage, Inc.</t>
  </si>
  <si>
    <t>CitiMortgage</t>
  </si>
  <si>
    <t>Wells Fargo</t>
  </si>
  <si>
    <t>Bank of America</t>
  </si>
  <si>
    <t>Green Point Mortgage Funding, Inc.</t>
  </si>
  <si>
    <t>HSBC</t>
  </si>
  <si>
    <t>US Bank as Trustee</t>
  </si>
  <si>
    <t>Bayview</t>
  </si>
  <si>
    <t>Reverse Mortgage</t>
  </si>
  <si>
    <t>Rushmore Loan Management Services</t>
  </si>
  <si>
    <t>Mr. Cooper</t>
  </si>
  <si>
    <t>Freedom Mortgage Corporation</t>
  </si>
  <si>
    <t>No Mortgage</t>
  </si>
  <si>
    <t>PHH Mortgage Corporation</t>
  </si>
  <si>
    <t>Penny Mac Loan Services, LLC</t>
  </si>
  <si>
    <t>Champion Mortgage</t>
  </si>
  <si>
    <t>Seterus, Inc.</t>
  </si>
  <si>
    <t>Citibank</t>
  </si>
  <si>
    <t>Fay Servicing</t>
  </si>
  <si>
    <t>RMS</t>
  </si>
  <si>
    <t>Dovenmuhle Mortgage</t>
  </si>
  <si>
    <t>Aurora Loan Services, LLC</t>
  </si>
  <si>
    <t>Urban Financial Group, Inc.</t>
  </si>
  <si>
    <t>BSI Financial Services</t>
  </si>
  <si>
    <t>Reverse Mortgage Solutions, Inc.</t>
  </si>
  <si>
    <t>Green Tree</t>
  </si>
  <si>
    <t>Statebridge</t>
  </si>
  <si>
    <t>Shellpoint Mortgage Servicing</t>
  </si>
  <si>
    <t>Selene Finance</t>
  </si>
  <si>
    <t>The Money Source</t>
  </si>
  <si>
    <t>Fifth Third Mortgage Company</t>
  </si>
  <si>
    <t>Manufacturers &amp; Traders</t>
  </si>
  <si>
    <t>Wilmington Trust, National Association</t>
  </si>
  <si>
    <t>Cenlar FSB</t>
  </si>
  <si>
    <t>Specialized Loan Servicing</t>
  </si>
  <si>
    <t>Abacus Federal Savings Bank</t>
  </si>
  <si>
    <t>FCI Lender Services, Inc</t>
  </si>
  <si>
    <t>Washington Mutual</t>
  </si>
  <si>
    <t>Bank of America Home Loans Servicing</t>
  </si>
  <si>
    <t>Gregory Funding, LLC</t>
  </si>
  <si>
    <t>Loan Care</t>
  </si>
  <si>
    <t>Finance of America Reverse, LLC</t>
  </si>
  <si>
    <t>Quicken Loans Inc</t>
  </si>
  <si>
    <t>Roundpoint Mortgage Servicing Corporation</t>
  </si>
  <si>
    <t>Novad Management Consulting</t>
  </si>
  <si>
    <t>Carver Federal Savings Bank</t>
  </si>
  <si>
    <t>Reverse Mortgage Funding</t>
  </si>
  <si>
    <t>Financial Freedom</t>
  </si>
  <si>
    <t>US Bank</t>
  </si>
  <si>
    <t>American Service Company</t>
  </si>
  <si>
    <t>Stae of New York Mortgage</t>
  </si>
  <si>
    <t>Emigrant Mortgage Co.</t>
  </si>
  <si>
    <t>SunTrust Mortgage</t>
  </si>
  <si>
    <t>Sun West Mortgage Co.</t>
  </si>
  <si>
    <t>Rushmore Capital Partners</t>
  </si>
  <si>
    <t>21st Mortgage Corporation</t>
  </si>
  <si>
    <t>Spring Homes, LLC</t>
  </si>
  <si>
    <t>America’s Servicing Company</t>
  </si>
  <si>
    <t>Advanced Financial Services, Inc.</t>
  </si>
  <si>
    <t>Seneca Mortgage Servicing LLC</t>
  </si>
  <si>
    <t>Unknown</t>
  </si>
  <si>
    <t>First Bank</t>
  </si>
  <si>
    <t>Vanderbilt Mortgage</t>
  </si>
  <si>
    <t>US Bank National Association</t>
  </si>
  <si>
    <t>Live Well Financial</t>
  </si>
  <si>
    <t>ChaseHome Finance LLC</t>
  </si>
  <si>
    <t>Temple-Inland Mortgage Corp.</t>
  </si>
  <si>
    <t>SN Servicing</t>
  </si>
  <si>
    <t>MidFirst Bank</t>
  </si>
  <si>
    <t>Midland</t>
  </si>
  <si>
    <t>Banco Popular</t>
  </si>
  <si>
    <t>Sterling National Mortgage Inc.</t>
  </si>
  <si>
    <t>Federal Savings Bank</t>
  </si>
  <si>
    <t>Selene RMOF REO Acquisition LLP</t>
  </si>
  <si>
    <t>HSBC Bank</t>
  </si>
  <si>
    <t>Celink</t>
  </si>
  <si>
    <t>DLJ Mortgage Capital</t>
  </si>
  <si>
    <t>Fannie Mae</t>
  </si>
  <si>
    <t>Finance America</t>
  </si>
  <si>
    <t>Franklin Credit Management</t>
  </si>
  <si>
    <t>Central Mortgage Co.</t>
  </si>
  <si>
    <t>Planet Home Lending, LLC</t>
  </si>
  <si>
    <t>Santander Bank</t>
  </si>
  <si>
    <t>Aurora Bank FSB</t>
  </si>
  <si>
    <t>OneWest</t>
  </si>
  <si>
    <t>PNC Bank</t>
  </si>
  <si>
    <t>Money Source, Inc</t>
  </si>
  <si>
    <t>MERS</t>
  </si>
  <si>
    <t>Generation Mortgage Co.</t>
  </si>
  <si>
    <t>Bank United</t>
  </si>
  <si>
    <t>IndyMac</t>
  </si>
  <si>
    <t>Regions Bank</t>
  </si>
  <si>
    <t>Kondaur Capital Corporation</t>
  </si>
  <si>
    <t>Neighborhood Housing Services (NHS)</t>
  </si>
  <si>
    <t>Plaza at Coral Springs</t>
  </si>
  <si>
    <t>Veripro Solutions</t>
  </si>
  <si>
    <t>Coastal Capital</t>
  </si>
  <si>
    <t>Private</t>
  </si>
  <si>
    <t>Avelina Mansilla</t>
  </si>
  <si>
    <t>IndyMac Bank, F.S.B.</t>
  </si>
  <si>
    <t>Asian or Pacific Islander</t>
  </si>
  <si>
    <t>Black/African American/African Descent</t>
  </si>
  <si>
    <t>Other</t>
  </si>
  <si>
    <t>White (Not Hispanic)</t>
  </si>
  <si>
    <t>1 Unit</t>
  </si>
  <si>
    <t>2 Units</t>
  </si>
  <si>
    <t>Condo</t>
  </si>
  <si>
    <t>3 Units</t>
  </si>
  <si>
    <t>Coop</t>
  </si>
  <si>
    <t>4 Units</t>
  </si>
  <si>
    <t>Richmond</t>
  </si>
  <si>
    <t>Queens</t>
  </si>
  <si>
    <t>Kings</t>
  </si>
  <si>
    <t>Bronx</t>
  </si>
  <si>
    <t>New York</t>
  </si>
  <si>
    <t>New Haven</t>
  </si>
  <si>
    <t>NJ</t>
  </si>
  <si>
    <t>Increased/Unexpected Medical Expenses/Issues</t>
  </si>
  <si>
    <t>Loss of Income from under/unemployment</t>
  </si>
  <si>
    <t>Servicing Problem/Payment Dispute</t>
  </si>
  <si>
    <t>Loan Unaffordable from Origination</t>
  </si>
  <si>
    <t>Mortgage Payment Increase</t>
  </si>
  <si>
    <t>Loss of income from Death in Family/Borrower</t>
  </si>
  <si>
    <t>High Non-mortgage debt</t>
  </si>
  <si>
    <t>Non-Payment of Rental/Inability to Rent</t>
  </si>
  <si>
    <t>Transfer of Ownership/Fraud</t>
  </si>
  <si>
    <t>Casualty/property insurance problems</t>
  </si>
  <si>
    <t>Property/Tax Delinquency</t>
  </si>
  <si>
    <t>Marital/Relationship Dispute</t>
  </si>
  <si>
    <t>Scam/Other</t>
  </si>
  <si>
    <t>Sandy Related Property Damage/Income Loss</t>
  </si>
  <si>
    <t>Loss of income from Business Failure</t>
  </si>
  <si>
    <t>Scam/Deed Theft</t>
  </si>
  <si>
    <t>Scam/Foreclosure Prevention</t>
  </si>
  <si>
    <t>Increased/unexpected Energy and Utility payments</t>
  </si>
  <si>
    <t>Assisted with Pro Se Representation</t>
  </si>
  <si>
    <t>Provided Representation at Settlement Conference</t>
  </si>
  <si>
    <t>Non-Litigation Advocacy</t>
  </si>
  <si>
    <t>Referral to Legal Service</t>
  </si>
  <si>
    <t>Advice and Counsel</t>
  </si>
  <si>
    <t>Investigation and Advice and Counsel</t>
  </si>
  <si>
    <t>Litigation</t>
  </si>
  <si>
    <t>Assisted with Non-Mortgage Related Matters</t>
  </si>
  <si>
    <t>Submission of Loan Modification Request</t>
  </si>
  <si>
    <t>Assisted with tax lien issue</t>
  </si>
  <si>
    <t>Referral to Housing Counseling</t>
  </si>
  <si>
    <t>Referral to Pro Bono Counsel</t>
  </si>
  <si>
    <t>Post modification counseling</t>
  </si>
  <si>
    <t>Complex or Multiparty Litigation</t>
  </si>
  <si>
    <t>Post re-default counseling</t>
  </si>
  <si>
    <t>Referral to RE Broker</t>
  </si>
  <si>
    <t>Shadow Docket SC Representation</t>
  </si>
  <si>
    <t>Assisted with or Represented in Bankruptcy</t>
  </si>
  <si>
    <t>Representation in Good Faith Proceeding</t>
  </si>
  <si>
    <t>Referred to Social Service or Emergency Assistance Agency</t>
  </si>
  <si>
    <t>Final Modification Offer Received And Accepted By Client</t>
  </si>
  <si>
    <t>Trial Modification Offer Received And Accepted By Client</t>
  </si>
  <si>
    <t>Client Did Not Qualify For Modification</t>
  </si>
  <si>
    <t>Lender/Servicer Requested Addition Documents</t>
  </si>
  <si>
    <t>Initial Modification Request Pending</t>
  </si>
  <si>
    <t>Modification Offer Rejected By Client</t>
  </si>
  <si>
    <t>Modification Request Re-Submitted and Pending</t>
  </si>
  <si>
    <t>Client Failed Trial Modification Period</t>
  </si>
  <si>
    <t>Mortgage Modified - In House</t>
  </si>
  <si>
    <t>Averted Default Judgment</t>
  </si>
  <si>
    <t>Foreclosure Dismissed</t>
  </si>
  <si>
    <t>Mortgage Modified - HAMP</t>
  </si>
  <si>
    <t>Satisfied Mortgage</t>
  </si>
  <si>
    <t>Extended homeowner or tenant’s tenure in property</t>
  </si>
  <si>
    <t>Advised Client Of Rights And Options</t>
  </si>
  <si>
    <t>Obtained Real Estate Broker Services</t>
  </si>
  <si>
    <t>Homeownership preserved through other intervention</t>
  </si>
  <si>
    <t>Resolved non-mortgage lien</t>
  </si>
  <si>
    <t>Brought Mortgage Current</t>
  </si>
  <si>
    <t>Withdrew from counseling</t>
  </si>
  <si>
    <t>Property Sold</t>
  </si>
  <si>
    <t>Stop Sale/Vacate Judgment of Foreclosure and Sale</t>
  </si>
  <si>
    <t>Bankruptcy/Obtained Federal Bankruptcy Protection</t>
  </si>
  <si>
    <t>Filed Complaint with Government Enforcement Agency</t>
  </si>
  <si>
    <t>Reduced Fees or Charges/Obtained QWR response</t>
  </si>
  <si>
    <t>Case Settled in Settlement Conference</t>
  </si>
  <si>
    <t>Secured Charitable Grant or Services For Client</t>
  </si>
  <si>
    <t>Obtained pro bono counsel</t>
  </si>
  <si>
    <t>Preserved Homeownership through Other Intervention</t>
  </si>
  <si>
    <t>Referral</t>
  </si>
  <si>
    <t>Obtained Injunction</t>
  </si>
  <si>
    <t>Obtained clear title to property</t>
  </si>
  <si>
    <t>Client Outcome Unknown</t>
  </si>
  <si>
    <t>Homeowner Obtained Private Loan/Grant Funds</t>
  </si>
  <si>
    <t>Referred to legal services</t>
  </si>
  <si>
    <t>Obtained credit/budget counseling</t>
  </si>
  <si>
    <t>Vacate Default Judgment</t>
  </si>
  <si>
    <t>Resolved non-mortgage lien issue</t>
  </si>
  <si>
    <t>Short Sale</t>
  </si>
  <si>
    <t>Obtained or Restored Settlement Conference</t>
  </si>
  <si>
    <t>Mortgage foreclosed</t>
  </si>
  <si>
    <t>13,162.10</t>
  </si>
  <si>
    <t>23,624.32</t>
  </si>
  <si>
    <t>$16,198.74</t>
  </si>
  <si>
    <t>55,000</t>
  </si>
  <si>
    <t>55,399.85</t>
  </si>
  <si>
    <t>74,224.18</t>
  </si>
  <si>
    <t>$100/month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</si>
</sst>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735"/>
  <sheetViews>
    <sheetView tabSelected="1" workbookViewId="0"/>
  </sheetViews>
  <sheetFormatPr defaultRowHeight="15"/>
  <cols>
    <col min="1" max="1" width="20.7109375" style="1" customWidth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>
      <c r="A2" s="1">
        <f>HYPERLINK("https://lsnyc.legalserver.org/matter/dynamic-profile/view/1899119","19-1899119")</f>
        <v>0</v>
      </c>
      <c r="B2" t="s">
        <v>33</v>
      </c>
      <c r="C2" t="s">
        <v>38</v>
      </c>
      <c r="D2" t="s">
        <v>72</v>
      </c>
      <c r="E2" t="s">
        <v>607</v>
      </c>
      <c r="F2">
        <v>5437</v>
      </c>
      <c r="G2" t="s">
        <v>1178</v>
      </c>
      <c r="I2" t="s">
        <v>1297</v>
      </c>
      <c r="J2">
        <v>4</v>
      </c>
      <c r="K2">
        <v>8</v>
      </c>
      <c r="L2">
        <v>0</v>
      </c>
      <c r="N2">
        <v>39000</v>
      </c>
      <c r="O2">
        <v>10314</v>
      </c>
      <c r="P2" t="s">
        <v>1307</v>
      </c>
      <c r="Q2" t="s">
        <v>1314</v>
      </c>
      <c r="S2" t="s">
        <v>1332</v>
      </c>
      <c r="T2" t="s">
        <v>1333</v>
      </c>
      <c r="U2" t="s">
        <v>1352</v>
      </c>
      <c r="W2" t="s">
        <v>1360</v>
      </c>
      <c r="Y2" t="s">
        <v>1366</v>
      </c>
      <c r="AA2">
        <v>2918.75</v>
      </c>
      <c r="AB2">
        <v>0</v>
      </c>
      <c r="AD2">
        <v>95620.56</v>
      </c>
      <c r="AE2">
        <v>0</v>
      </c>
      <c r="AF2">
        <v>0</v>
      </c>
      <c r="AG2">
        <v>0</v>
      </c>
    </row>
    <row r="3" spans="1:33">
      <c r="A3" s="1">
        <f>HYPERLINK("https://lsnyc.legalserver.org/matter/dynamic-profile/view/1891297","19-1891297")</f>
        <v>0</v>
      </c>
      <c r="B3" t="s">
        <v>34</v>
      </c>
      <c r="C3" t="s">
        <v>39</v>
      </c>
      <c r="D3" t="s">
        <v>73</v>
      </c>
      <c r="E3" t="s">
        <v>608</v>
      </c>
      <c r="F3">
        <v>5442</v>
      </c>
      <c r="G3" t="s">
        <v>1179</v>
      </c>
      <c r="I3" t="s">
        <v>1297</v>
      </c>
      <c r="J3">
        <v>2</v>
      </c>
      <c r="K3">
        <v>2</v>
      </c>
      <c r="L3">
        <v>0</v>
      </c>
      <c r="M3" t="s">
        <v>1301</v>
      </c>
      <c r="N3">
        <v>103000</v>
      </c>
      <c r="O3">
        <v>11434</v>
      </c>
      <c r="P3" t="s">
        <v>1308</v>
      </c>
      <c r="Q3" t="s">
        <v>1315</v>
      </c>
      <c r="S3" t="s">
        <v>1332</v>
      </c>
      <c r="T3" t="s">
        <v>1336</v>
      </c>
      <c r="W3" t="s">
        <v>1361</v>
      </c>
      <c r="Y3" t="s">
        <v>1366</v>
      </c>
      <c r="AA3">
        <v>0</v>
      </c>
      <c r="AB3">
        <v>0</v>
      </c>
      <c r="AD3">
        <v>0</v>
      </c>
      <c r="AE3">
        <v>0</v>
      </c>
      <c r="AF3">
        <v>0</v>
      </c>
      <c r="AG3">
        <v>0</v>
      </c>
    </row>
    <row r="4" spans="1:33">
      <c r="A4" s="1">
        <f>HYPERLINK("https://lsnyc.legalserver.org/matter/dynamic-profile/view/1847119","17-1847119")</f>
        <v>0</v>
      </c>
      <c r="B4" t="s">
        <v>35</v>
      </c>
      <c r="C4" t="s">
        <v>40</v>
      </c>
      <c r="D4" t="s">
        <v>74</v>
      </c>
      <c r="E4" t="s">
        <v>609</v>
      </c>
      <c r="F4">
        <v>5553</v>
      </c>
      <c r="G4" t="s">
        <v>1180</v>
      </c>
      <c r="I4" t="s">
        <v>1297</v>
      </c>
      <c r="J4">
        <v>2</v>
      </c>
      <c r="K4">
        <v>0</v>
      </c>
      <c r="L4">
        <v>1</v>
      </c>
      <c r="M4" t="s">
        <v>1302</v>
      </c>
      <c r="N4">
        <v>60000</v>
      </c>
      <c r="O4">
        <v>11203</v>
      </c>
      <c r="P4" t="s">
        <v>1309</v>
      </c>
      <c r="Q4" t="s">
        <v>1316</v>
      </c>
      <c r="S4" t="s">
        <v>1333</v>
      </c>
      <c r="W4" t="s">
        <v>1362</v>
      </c>
      <c r="Y4" t="s">
        <v>1370</v>
      </c>
      <c r="AA4">
        <v>0</v>
      </c>
      <c r="AB4">
        <v>0</v>
      </c>
      <c r="AD4">
        <v>0</v>
      </c>
      <c r="AE4">
        <v>0</v>
      </c>
      <c r="AF4">
        <v>0</v>
      </c>
      <c r="AG4">
        <v>2450</v>
      </c>
    </row>
    <row r="5" spans="1:33">
      <c r="A5" s="1">
        <f>HYPERLINK("https://lsnyc.legalserver.org/matter/dynamic-profile/view/1868241","18-1868241")</f>
        <v>0</v>
      </c>
      <c r="B5" t="s">
        <v>36</v>
      </c>
      <c r="C5" t="s">
        <v>41</v>
      </c>
      <c r="D5" t="s">
        <v>75</v>
      </c>
      <c r="E5" t="s">
        <v>610</v>
      </c>
      <c r="F5">
        <v>5440</v>
      </c>
      <c r="G5" t="s">
        <v>1181</v>
      </c>
      <c r="I5" t="s">
        <v>1297</v>
      </c>
      <c r="J5">
        <v>4</v>
      </c>
      <c r="K5">
        <v>3</v>
      </c>
      <c r="L5">
        <v>2</v>
      </c>
      <c r="M5" t="s">
        <v>1302</v>
      </c>
      <c r="N5">
        <v>96120</v>
      </c>
      <c r="O5">
        <v>10469</v>
      </c>
      <c r="P5" t="s">
        <v>1310</v>
      </c>
      <c r="Q5" t="s">
        <v>1315</v>
      </c>
      <c r="R5" t="s">
        <v>1331</v>
      </c>
      <c r="S5" t="s">
        <v>1333</v>
      </c>
      <c r="T5" t="s">
        <v>1350</v>
      </c>
      <c r="W5" t="s">
        <v>1363</v>
      </c>
      <c r="Y5" t="s">
        <v>1370</v>
      </c>
      <c r="AA5">
        <v>0</v>
      </c>
      <c r="AB5">
        <v>0</v>
      </c>
      <c r="AD5">
        <v>0</v>
      </c>
      <c r="AE5">
        <v>0</v>
      </c>
      <c r="AF5">
        <v>0</v>
      </c>
      <c r="AG5">
        <v>0</v>
      </c>
    </row>
    <row r="6" spans="1:33">
      <c r="A6" s="1">
        <f>HYPERLINK("https://lsnyc.legalserver.org/matter/dynamic-profile/view/1878756","18-1878756")</f>
        <v>0</v>
      </c>
      <c r="B6" t="s">
        <v>34</v>
      </c>
      <c r="C6" t="s">
        <v>39</v>
      </c>
      <c r="D6" t="s">
        <v>76</v>
      </c>
      <c r="E6" t="s">
        <v>611</v>
      </c>
      <c r="F6">
        <v>5442</v>
      </c>
      <c r="G6" t="s">
        <v>1182</v>
      </c>
      <c r="I6" t="s">
        <v>1297</v>
      </c>
      <c r="J6">
        <v>2</v>
      </c>
      <c r="K6">
        <v>0</v>
      </c>
      <c r="L6">
        <v>0</v>
      </c>
      <c r="M6" t="s">
        <v>1301</v>
      </c>
      <c r="N6">
        <v>37200</v>
      </c>
      <c r="O6">
        <v>11416</v>
      </c>
      <c r="P6" t="s">
        <v>1308</v>
      </c>
      <c r="Q6" t="s">
        <v>1317</v>
      </c>
      <c r="S6" t="s">
        <v>1332</v>
      </c>
      <c r="T6" t="s">
        <v>1333</v>
      </c>
      <c r="AA6">
        <v>0</v>
      </c>
      <c r="AB6">
        <v>0</v>
      </c>
      <c r="AD6">
        <v>0</v>
      </c>
      <c r="AE6">
        <v>0</v>
      </c>
      <c r="AF6">
        <v>0</v>
      </c>
      <c r="AG6">
        <v>0</v>
      </c>
    </row>
    <row r="7" spans="1:33">
      <c r="A7" s="1">
        <f>HYPERLINK("https://lsnyc.legalserver.org/matter/dynamic-profile/view/1887991","19-1887991")</f>
        <v>0</v>
      </c>
      <c r="B7" t="s">
        <v>34</v>
      </c>
      <c r="C7" t="s">
        <v>42</v>
      </c>
      <c r="D7" t="s">
        <v>77</v>
      </c>
      <c r="E7" t="s">
        <v>612</v>
      </c>
      <c r="F7">
        <v>5442</v>
      </c>
      <c r="I7" t="s">
        <v>1297</v>
      </c>
      <c r="J7">
        <v>1</v>
      </c>
      <c r="K7">
        <v>0</v>
      </c>
      <c r="L7">
        <v>1</v>
      </c>
      <c r="M7" t="s">
        <v>1303</v>
      </c>
      <c r="N7">
        <v>16932</v>
      </c>
      <c r="O7">
        <v>11375</v>
      </c>
      <c r="P7" t="s">
        <v>1308</v>
      </c>
      <c r="Q7" t="s">
        <v>1318</v>
      </c>
      <c r="S7" t="s">
        <v>1334</v>
      </c>
      <c r="W7" t="s">
        <v>1364</v>
      </c>
      <c r="AA7">
        <v>0</v>
      </c>
      <c r="AB7">
        <v>0</v>
      </c>
      <c r="AC7" t="s">
        <v>1393</v>
      </c>
      <c r="AD7">
        <v>0</v>
      </c>
      <c r="AE7">
        <v>0</v>
      </c>
      <c r="AF7">
        <v>0</v>
      </c>
      <c r="AG7">
        <v>0</v>
      </c>
    </row>
    <row r="8" spans="1:33">
      <c r="A8" s="1">
        <f>HYPERLINK("https://lsnyc.legalserver.org/matter/dynamic-profile/view/1893561","19-1893561")</f>
        <v>0</v>
      </c>
      <c r="B8" t="s">
        <v>35</v>
      </c>
      <c r="C8" t="s">
        <v>40</v>
      </c>
      <c r="D8" t="s">
        <v>78</v>
      </c>
      <c r="E8" t="s">
        <v>613</v>
      </c>
      <c r="F8">
        <v>5553</v>
      </c>
      <c r="G8" t="s">
        <v>1183</v>
      </c>
      <c r="I8" t="s">
        <v>1298</v>
      </c>
      <c r="J8">
        <v>4</v>
      </c>
      <c r="K8">
        <v>5</v>
      </c>
      <c r="L8">
        <v>1</v>
      </c>
      <c r="M8" t="s">
        <v>1302</v>
      </c>
      <c r="N8">
        <v>59620</v>
      </c>
      <c r="O8">
        <v>11213</v>
      </c>
      <c r="P8" t="s">
        <v>1309</v>
      </c>
      <c r="Q8" t="s">
        <v>1315</v>
      </c>
      <c r="S8" t="s">
        <v>1334</v>
      </c>
      <c r="T8" t="s">
        <v>1336</v>
      </c>
      <c r="W8" t="s">
        <v>1365</v>
      </c>
      <c r="Y8" t="s">
        <v>1366</v>
      </c>
      <c r="AA8">
        <v>0</v>
      </c>
      <c r="AB8">
        <v>0</v>
      </c>
      <c r="AD8">
        <v>0</v>
      </c>
      <c r="AE8">
        <v>0</v>
      </c>
      <c r="AF8">
        <v>0</v>
      </c>
      <c r="AG8">
        <v>0</v>
      </c>
    </row>
    <row r="9" spans="1:33">
      <c r="A9" s="1">
        <f>HYPERLINK("https://lsnyc.legalserver.org/matter/dynamic-profile/view/1902134","19-1902134")</f>
        <v>0</v>
      </c>
      <c r="B9" t="s">
        <v>35</v>
      </c>
      <c r="C9" t="s">
        <v>43</v>
      </c>
      <c r="D9" t="s">
        <v>79</v>
      </c>
      <c r="E9" t="s">
        <v>614</v>
      </c>
      <c r="F9">
        <v>5553</v>
      </c>
      <c r="G9" t="s">
        <v>1184</v>
      </c>
      <c r="I9" t="s">
        <v>1298</v>
      </c>
      <c r="J9">
        <v>1</v>
      </c>
      <c r="K9">
        <v>0</v>
      </c>
      <c r="L9">
        <v>1</v>
      </c>
      <c r="M9" t="s">
        <v>1301</v>
      </c>
      <c r="N9">
        <v>22800</v>
      </c>
      <c r="O9">
        <v>11203</v>
      </c>
      <c r="P9" t="s">
        <v>1309</v>
      </c>
      <c r="Q9" t="s">
        <v>1319</v>
      </c>
      <c r="S9" t="s">
        <v>1335</v>
      </c>
      <c r="AA9">
        <v>0</v>
      </c>
      <c r="AB9">
        <v>0</v>
      </c>
      <c r="AD9">
        <v>0</v>
      </c>
      <c r="AE9">
        <v>0</v>
      </c>
      <c r="AF9">
        <v>0</v>
      </c>
      <c r="AG9">
        <v>0</v>
      </c>
    </row>
    <row r="10" spans="1:33">
      <c r="A10" s="1">
        <f>HYPERLINK("https://lsnyc.legalserver.org/matter/dynamic-profile/view/1858350","18-1858350")</f>
        <v>0</v>
      </c>
      <c r="B10" t="s">
        <v>34</v>
      </c>
      <c r="C10" t="s">
        <v>44</v>
      </c>
      <c r="D10" t="s">
        <v>80</v>
      </c>
      <c r="E10" t="s">
        <v>615</v>
      </c>
      <c r="F10">
        <v>5442</v>
      </c>
      <c r="G10" t="s">
        <v>1185</v>
      </c>
      <c r="I10" t="s">
        <v>1298</v>
      </c>
      <c r="J10">
        <v>1</v>
      </c>
      <c r="K10">
        <v>0</v>
      </c>
      <c r="L10">
        <v>1</v>
      </c>
      <c r="M10" t="s">
        <v>1302</v>
      </c>
      <c r="N10">
        <v>19932</v>
      </c>
      <c r="O10">
        <v>11434</v>
      </c>
      <c r="P10" t="s">
        <v>1308</v>
      </c>
      <c r="Q10" t="s">
        <v>1320</v>
      </c>
      <c r="R10" t="s">
        <v>1314</v>
      </c>
      <c r="S10" t="s">
        <v>1336</v>
      </c>
      <c r="T10" t="s">
        <v>1339</v>
      </c>
      <c r="W10" t="s">
        <v>1365</v>
      </c>
      <c r="Y10" t="s">
        <v>1366</v>
      </c>
      <c r="AA10">
        <v>0</v>
      </c>
      <c r="AB10">
        <v>0</v>
      </c>
      <c r="AD10">
        <v>0</v>
      </c>
      <c r="AE10">
        <v>0</v>
      </c>
      <c r="AF10">
        <v>0</v>
      </c>
      <c r="AG10">
        <v>0</v>
      </c>
    </row>
    <row r="11" spans="1:33">
      <c r="A11" s="1">
        <f>HYPERLINK("https://lsnyc.legalserver.org/matter/dynamic-profile/view/0814512","16-0814512")</f>
        <v>0</v>
      </c>
      <c r="B11" t="s">
        <v>34</v>
      </c>
      <c r="C11" t="s">
        <v>44</v>
      </c>
      <c r="D11" t="s">
        <v>81</v>
      </c>
      <c r="E11" t="s">
        <v>616</v>
      </c>
      <c r="F11">
        <v>5442</v>
      </c>
      <c r="G11" t="s">
        <v>1186</v>
      </c>
      <c r="I11" t="s">
        <v>1298</v>
      </c>
      <c r="J11">
        <v>3</v>
      </c>
      <c r="K11">
        <v>1</v>
      </c>
      <c r="L11">
        <v>0</v>
      </c>
      <c r="N11">
        <v>33527</v>
      </c>
      <c r="O11">
        <v>11692</v>
      </c>
      <c r="P11" t="s">
        <v>1308</v>
      </c>
      <c r="Q11" t="s">
        <v>1321</v>
      </c>
      <c r="S11" t="s">
        <v>1332</v>
      </c>
      <c r="T11" t="s">
        <v>1333</v>
      </c>
      <c r="U11" t="s">
        <v>1353</v>
      </c>
      <c r="W11" t="s">
        <v>1360</v>
      </c>
      <c r="AA11">
        <v>2143.71</v>
      </c>
      <c r="AB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">
        <f>HYPERLINK("https://lsnyc.legalserver.org/matter/dynamic-profile/view/1887226","19-1887226")</f>
        <v>0</v>
      </c>
      <c r="B12" t="s">
        <v>33</v>
      </c>
      <c r="C12" t="s">
        <v>38</v>
      </c>
      <c r="D12" t="s">
        <v>82</v>
      </c>
      <c r="E12" t="s">
        <v>617</v>
      </c>
      <c r="F12">
        <v>5437</v>
      </c>
      <c r="G12" t="s">
        <v>1187</v>
      </c>
      <c r="I12" t="s">
        <v>1298</v>
      </c>
      <c r="J12">
        <v>2</v>
      </c>
      <c r="K12">
        <v>0</v>
      </c>
      <c r="L12">
        <v>1</v>
      </c>
      <c r="M12" t="s">
        <v>1302</v>
      </c>
      <c r="N12">
        <v>34484</v>
      </c>
      <c r="O12">
        <v>10310</v>
      </c>
      <c r="P12" t="s">
        <v>1307</v>
      </c>
      <c r="Q12" t="s">
        <v>1314</v>
      </c>
      <c r="R12" t="s">
        <v>1315</v>
      </c>
      <c r="S12" t="s">
        <v>1337</v>
      </c>
      <c r="W12" t="s">
        <v>1366</v>
      </c>
      <c r="AA12">
        <v>0</v>
      </c>
      <c r="AB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">
        <f>HYPERLINK("https://lsnyc.legalserver.org/matter/dynamic-profile/view/0816716","16-0816716")</f>
        <v>0</v>
      </c>
      <c r="B13" t="s">
        <v>34</v>
      </c>
      <c r="C13" t="s">
        <v>42</v>
      </c>
      <c r="D13" t="s">
        <v>83</v>
      </c>
      <c r="E13" t="s">
        <v>618</v>
      </c>
      <c r="F13">
        <v>5442</v>
      </c>
      <c r="G13" t="s">
        <v>1188</v>
      </c>
      <c r="H13" t="s">
        <v>1191</v>
      </c>
      <c r="I13" t="s">
        <v>1298</v>
      </c>
      <c r="J13">
        <v>1</v>
      </c>
      <c r="K13">
        <v>2</v>
      </c>
      <c r="L13">
        <v>0</v>
      </c>
      <c r="M13" t="s">
        <v>1302</v>
      </c>
      <c r="N13">
        <v>13524</v>
      </c>
      <c r="O13">
        <v>11692</v>
      </c>
      <c r="P13" t="s">
        <v>1308</v>
      </c>
      <c r="Q13" t="s">
        <v>1319</v>
      </c>
      <c r="S13" t="s">
        <v>1332</v>
      </c>
      <c r="T13" t="s">
        <v>1336</v>
      </c>
      <c r="U13" t="s">
        <v>1354</v>
      </c>
      <c r="W13" t="s">
        <v>1361</v>
      </c>
      <c r="AA13">
        <v>0</v>
      </c>
      <c r="AB13">
        <v>0</v>
      </c>
      <c r="AD13">
        <v>0</v>
      </c>
      <c r="AE13">
        <v>0</v>
      </c>
      <c r="AF13">
        <v>0</v>
      </c>
      <c r="AG13">
        <v>0</v>
      </c>
    </row>
    <row r="14" spans="1:33">
      <c r="A14" s="1">
        <f>HYPERLINK("https://lsnyc.legalserver.org/matter/dynamic-profile/view/0789860","15-0789860")</f>
        <v>0</v>
      </c>
      <c r="B14" t="s">
        <v>35</v>
      </c>
      <c r="C14" t="s">
        <v>45</v>
      </c>
      <c r="D14" t="s">
        <v>84</v>
      </c>
      <c r="E14" t="s">
        <v>619</v>
      </c>
      <c r="F14">
        <v>5553</v>
      </c>
      <c r="G14" t="s">
        <v>1189</v>
      </c>
      <c r="I14" t="s">
        <v>1298</v>
      </c>
      <c r="J14">
        <v>1</v>
      </c>
      <c r="K14">
        <v>0</v>
      </c>
      <c r="L14">
        <v>1</v>
      </c>
      <c r="M14" t="s">
        <v>1302</v>
      </c>
      <c r="N14">
        <v>25200</v>
      </c>
      <c r="O14">
        <v>11207</v>
      </c>
      <c r="P14" t="s">
        <v>1309</v>
      </c>
      <c r="Q14" t="s">
        <v>1319</v>
      </c>
      <c r="R14" t="s">
        <v>1315</v>
      </c>
      <c r="S14" t="s">
        <v>1338</v>
      </c>
      <c r="T14" t="s">
        <v>1336</v>
      </c>
      <c r="U14" t="s">
        <v>1354</v>
      </c>
      <c r="W14" t="s">
        <v>1367</v>
      </c>
      <c r="Y14" t="s">
        <v>1366</v>
      </c>
      <c r="AA14">
        <v>0</v>
      </c>
      <c r="AB14">
        <v>0</v>
      </c>
      <c r="AD14">
        <v>0</v>
      </c>
      <c r="AE14">
        <v>0</v>
      </c>
      <c r="AF14">
        <v>0</v>
      </c>
      <c r="AG14">
        <v>0</v>
      </c>
    </row>
    <row r="15" spans="1:33">
      <c r="A15" s="1">
        <f>HYPERLINK("https://lsnyc.legalserver.org/matter/dynamic-profile/view/1881497","18-1881497")</f>
        <v>0</v>
      </c>
      <c r="B15" t="s">
        <v>36</v>
      </c>
      <c r="C15" t="s">
        <v>46</v>
      </c>
      <c r="D15" t="s">
        <v>85</v>
      </c>
      <c r="E15" t="s">
        <v>620</v>
      </c>
      <c r="F15">
        <v>5440</v>
      </c>
      <c r="G15" t="s">
        <v>1183</v>
      </c>
      <c r="I15" t="s">
        <v>1298</v>
      </c>
      <c r="J15">
        <v>2</v>
      </c>
      <c r="K15">
        <v>0</v>
      </c>
      <c r="L15">
        <v>1</v>
      </c>
      <c r="M15" t="s">
        <v>1301</v>
      </c>
      <c r="N15">
        <v>29328</v>
      </c>
      <c r="O15">
        <v>10456</v>
      </c>
      <c r="P15" t="s">
        <v>1310</v>
      </c>
      <c r="Q15" t="s">
        <v>1322</v>
      </c>
      <c r="S15" t="s">
        <v>1334</v>
      </c>
      <c r="W15" t="s">
        <v>1368</v>
      </c>
      <c r="AA15">
        <v>0</v>
      </c>
      <c r="AB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1">
        <f>HYPERLINK("https://lsnyc.legalserver.org/matter/dynamic-profile/view/1886245","18-1886245")</f>
        <v>0</v>
      </c>
      <c r="B16" t="s">
        <v>36</v>
      </c>
      <c r="C16" t="s">
        <v>46</v>
      </c>
      <c r="D16" t="s">
        <v>86</v>
      </c>
      <c r="E16" t="s">
        <v>621</v>
      </c>
      <c r="F16">
        <v>5440</v>
      </c>
      <c r="G16" t="s">
        <v>1190</v>
      </c>
      <c r="I16" t="s">
        <v>1298</v>
      </c>
      <c r="J16">
        <v>1</v>
      </c>
      <c r="K16">
        <v>1</v>
      </c>
      <c r="L16">
        <v>0</v>
      </c>
      <c r="M16" t="s">
        <v>1303</v>
      </c>
      <c r="N16">
        <v>30000</v>
      </c>
      <c r="O16">
        <v>10462</v>
      </c>
      <c r="P16" t="s">
        <v>1310</v>
      </c>
      <c r="Q16" t="s">
        <v>1323</v>
      </c>
      <c r="S16" t="s">
        <v>1339</v>
      </c>
      <c r="T16" t="s">
        <v>1334</v>
      </c>
      <c r="W16" t="s">
        <v>1369</v>
      </c>
      <c r="Y16" t="s">
        <v>1380</v>
      </c>
      <c r="AA16">
        <v>0</v>
      </c>
      <c r="AB16">
        <v>0</v>
      </c>
      <c r="AD16">
        <v>0</v>
      </c>
      <c r="AE16">
        <v>0</v>
      </c>
      <c r="AF16">
        <v>0</v>
      </c>
      <c r="AG16">
        <v>0</v>
      </c>
    </row>
    <row r="17" spans="1:33">
      <c r="A17" s="1">
        <f>HYPERLINK("https://lsnyc.legalserver.org/matter/dynamic-profile/view/1839126","17-1839126")</f>
        <v>0</v>
      </c>
      <c r="B17" t="s">
        <v>34</v>
      </c>
      <c r="C17" t="s">
        <v>47</v>
      </c>
      <c r="D17" t="s">
        <v>87</v>
      </c>
      <c r="E17" t="s">
        <v>622</v>
      </c>
      <c r="F17">
        <v>5442</v>
      </c>
      <c r="G17" t="s">
        <v>1191</v>
      </c>
      <c r="I17" t="s">
        <v>1298</v>
      </c>
      <c r="J17">
        <v>1</v>
      </c>
      <c r="K17">
        <v>1</v>
      </c>
      <c r="L17">
        <v>0</v>
      </c>
      <c r="M17" t="s">
        <v>1301</v>
      </c>
      <c r="N17">
        <v>68400</v>
      </c>
      <c r="O17">
        <v>11412</v>
      </c>
      <c r="P17" t="s">
        <v>1308</v>
      </c>
      <c r="Q17" t="s">
        <v>1319</v>
      </c>
      <c r="S17" t="s">
        <v>1333</v>
      </c>
      <c r="T17" t="s">
        <v>1332</v>
      </c>
      <c r="U17" t="s">
        <v>1354</v>
      </c>
      <c r="W17" t="s">
        <v>1365</v>
      </c>
      <c r="Y17" t="s">
        <v>1361</v>
      </c>
      <c r="AA17">
        <v>0</v>
      </c>
      <c r="AB17">
        <v>0</v>
      </c>
      <c r="AD17">
        <v>0</v>
      </c>
      <c r="AE17">
        <v>0</v>
      </c>
      <c r="AF17">
        <v>0</v>
      </c>
      <c r="AG17">
        <v>0</v>
      </c>
    </row>
    <row r="18" spans="1:33">
      <c r="A18" s="1">
        <f>HYPERLINK("https://lsnyc.legalserver.org/matter/dynamic-profile/view/1875048","18-1875048")</f>
        <v>0</v>
      </c>
      <c r="B18" t="s">
        <v>35</v>
      </c>
      <c r="C18" t="s">
        <v>48</v>
      </c>
      <c r="D18" t="s">
        <v>88</v>
      </c>
      <c r="E18" t="s">
        <v>623</v>
      </c>
      <c r="F18">
        <v>5553</v>
      </c>
      <c r="G18" t="s">
        <v>1179</v>
      </c>
      <c r="I18" t="s">
        <v>1298</v>
      </c>
      <c r="J18">
        <v>1</v>
      </c>
      <c r="K18">
        <v>0</v>
      </c>
      <c r="L18">
        <v>1</v>
      </c>
      <c r="N18">
        <v>28656</v>
      </c>
      <c r="O18">
        <v>11208</v>
      </c>
      <c r="P18" t="s">
        <v>1309</v>
      </c>
      <c r="Q18" t="s">
        <v>1319</v>
      </c>
      <c r="S18" t="s">
        <v>1333</v>
      </c>
      <c r="T18" t="s">
        <v>1332</v>
      </c>
      <c r="W18" t="s">
        <v>1370</v>
      </c>
      <c r="Y18" t="s">
        <v>1385</v>
      </c>
      <c r="AA18">
        <v>0</v>
      </c>
      <c r="AB18">
        <v>0</v>
      </c>
      <c r="AC18" t="s">
        <v>1394</v>
      </c>
      <c r="AD18">
        <v>0</v>
      </c>
      <c r="AE18">
        <v>0</v>
      </c>
      <c r="AF18">
        <v>0</v>
      </c>
      <c r="AG18">
        <v>0</v>
      </c>
    </row>
    <row r="19" spans="1:33">
      <c r="A19" s="1">
        <f>HYPERLINK("https://lsnyc.legalserver.org/matter/dynamic-profile/view/0827554","17-0827554")</f>
        <v>0</v>
      </c>
      <c r="B19" t="s">
        <v>34</v>
      </c>
      <c r="C19" t="s">
        <v>42</v>
      </c>
      <c r="D19" t="s">
        <v>89</v>
      </c>
      <c r="E19" t="s">
        <v>624</v>
      </c>
      <c r="F19">
        <v>5442</v>
      </c>
      <c r="G19" t="s">
        <v>1184</v>
      </c>
      <c r="I19" t="s">
        <v>1298</v>
      </c>
      <c r="J19">
        <v>4</v>
      </c>
      <c r="K19">
        <v>1</v>
      </c>
      <c r="L19">
        <v>0</v>
      </c>
      <c r="M19" t="s">
        <v>1301</v>
      </c>
      <c r="N19">
        <v>37560</v>
      </c>
      <c r="O19">
        <v>11413</v>
      </c>
      <c r="P19" t="s">
        <v>1308</v>
      </c>
      <c r="Q19" t="s">
        <v>1317</v>
      </c>
      <c r="S19" t="s">
        <v>1338</v>
      </c>
      <c r="W19" t="s">
        <v>1364</v>
      </c>
      <c r="Y19" t="s">
        <v>1362</v>
      </c>
      <c r="AA19">
        <v>0</v>
      </c>
      <c r="AB19">
        <v>0</v>
      </c>
      <c r="AD19">
        <v>0</v>
      </c>
      <c r="AE19">
        <v>0</v>
      </c>
      <c r="AF19">
        <v>0</v>
      </c>
      <c r="AG19">
        <v>587176.71</v>
      </c>
    </row>
    <row r="20" spans="1:33">
      <c r="A20" s="1">
        <f>HYPERLINK("https://lsnyc.legalserver.org/matter/dynamic-profile/view/1871224","18-1871224")</f>
        <v>0</v>
      </c>
      <c r="B20" t="s">
        <v>34</v>
      </c>
      <c r="C20" t="s">
        <v>49</v>
      </c>
      <c r="D20" t="s">
        <v>90</v>
      </c>
      <c r="E20" t="s">
        <v>625</v>
      </c>
      <c r="F20">
        <v>5442</v>
      </c>
      <c r="G20" t="s">
        <v>1192</v>
      </c>
      <c r="H20" t="s">
        <v>1290</v>
      </c>
      <c r="I20" t="s">
        <v>1298</v>
      </c>
      <c r="J20">
        <v>1</v>
      </c>
      <c r="K20">
        <v>0</v>
      </c>
      <c r="L20">
        <v>0</v>
      </c>
      <c r="M20" t="s">
        <v>1303</v>
      </c>
      <c r="N20">
        <v>39000</v>
      </c>
      <c r="O20">
        <v>11692</v>
      </c>
      <c r="P20" t="s">
        <v>1308</v>
      </c>
      <c r="Q20" t="s">
        <v>1315</v>
      </c>
      <c r="S20" t="s">
        <v>1333</v>
      </c>
      <c r="W20" t="s">
        <v>1370</v>
      </c>
      <c r="AA20">
        <v>0</v>
      </c>
      <c r="AB20">
        <v>0</v>
      </c>
      <c r="AC20">
        <v>36755</v>
      </c>
      <c r="AD20">
        <v>0</v>
      </c>
      <c r="AE20">
        <v>0</v>
      </c>
      <c r="AF20">
        <v>0</v>
      </c>
      <c r="AG20">
        <v>0</v>
      </c>
    </row>
    <row r="21" spans="1:33">
      <c r="A21" s="1">
        <f>HYPERLINK("https://lsnyc.legalserver.org/matter/dynamic-profile/view/0782440","15-0782440")</f>
        <v>0</v>
      </c>
      <c r="B21" t="s">
        <v>36</v>
      </c>
      <c r="C21" t="s">
        <v>46</v>
      </c>
      <c r="D21" t="s">
        <v>91</v>
      </c>
      <c r="E21" t="s">
        <v>269</v>
      </c>
      <c r="F21">
        <v>5440</v>
      </c>
      <c r="G21" t="s">
        <v>1193</v>
      </c>
      <c r="I21" t="s">
        <v>1298</v>
      </c>
      <c r="J21">
        <v>2</v>
      </c>
      <c r="K21">
        <v>3</v>
      </c>
      <c r="L21">
        <v>0</v>
      </c>
      <c r="M21" t="s">
        <v>1302</v>
      </c>
      <c r="N21">
        <v>16900</v>
      </c>
      <c r="O21">
        <v>10466</v>
      </c>
      <c r="P21" t="s">
        <v>1310</v>
      </c>
      <c r="Q21" t="s">
        <v>1320</v>
      </c>
      <c r="S21" t="s">
        <v>1332</v>
      </c>
      <c r="T21" t="s">
        <v>1340</v>
      </c>
      <c r="U21" t="s">
        <v>1352</v>
      </c>
      <c r="W21" t="s">
        <v>1366</v>
      </c>
      <c r="Y21" t="s">
        <v>1360</v>
      </c>
      <c r="AA21">
        <v>2119.45</v>
      </c>
      <c r="AB21">
        <v>0</v>
      </c>
      <c r="AD21">
        <v>0</v>
      </c>
      <c r="AE21">
        <v>0</v>
      </c>
      <c r="AF21">
        <v>0</v>
      </c>
      <c r="AG21">
        <v>0</v>
      </c>
    </row>
    <row r="22" spans="1:33">
      <c r="A22" s="1">
        <f>HYPERLINK("https://lsnyc.legalserver.org/matter/dynamic-profile/view/0815595","16-0815595")</f>
        <v>0</v>
      </c>
      <c r="B22" t="s">
        <v>37</v>
      </c>
      <c r="C22" t="s">
        <v>50</v>
      </c>
      <c r="D22" t="s">
        <v>92</v>
      </c>
      <c r="E22" t="s">
        <v>626</v>
      </c>
      <c r="F22">
        <v>5442</v>
      </c>
      <c r="G22" t="s">
        <v>1194</v>
      </c>
      <c r="I22" t="s">
        <v>1298</v>
      </c>
      <c r="J22">
        <v>1</v>
      </c>
      <c r="K22">
        <v>0</v>
      </c>
      <c r="L22">
        <v>0</v>
      </c>
      <c r="M22" t="s">
        <v>1301</v>
      </c>
      <c r="N22">
        <v>38112</v>
      </c>
      <c r="O22">
        <v>11691</v>
      </c>
      <c r="P22" t="s">
        <v>1308</v>
      </c>
      <c r="Q22" t="s">
        <v>1320</v>
      </c>
      <c r="S22" t="s">
        <v>1336</v>
      </c>
      <c r="AA22">
        <v>0</v>
      </c>
      <c r="AB22">
        <v>0</v>
      </c>
      <c r="AD22">
        <v>0</v>
      </c>
      <c r="AE22">
        <v>0</v>
      </c>
      <c r="AF22">
        <v>0</v>
      </c>
      <c r="AG22">
        <v>0</v>
      </c>
    </row>
    <row r="23" spans="1:33">
      <c r="A23" s="1">
        <f>HYPERLINK("https://lsnyc.legalserver.org/matter/dynamic-profile/view/1899019","19-1899019")</f>
        <v>0</v>
      </c>
      <c r="B23" t="s">
        <v>35</v>
      </c>
      <c r="C23" t="s">
        <v>40</v>
      </c>
      <c r="D23" t="s">
        <v>93</v>
      </c>
      <c r="E23" t="s">
        <v>627</v>
      </c>
      <c r="F23">
        <v>5553</v>
      </c>
      <c r="G23" t="s">
        <v>1195</v>
      </c>
      <c r="I23" t="s">
        <v>1298</v>
      </c>
      <c r="J23">
        <v>3</v>
      </c>
      <c r="K23">
        <v>2</v>
      </c>
      <c r="L23">
        <v>0</v>
      </c>
      <c r="M23" t="s">
        <v>1304</v>
      </c>
      <c r="N23">
        <v>68400</v>
      </c>
      <c r="O23">
        <v>11233</v>
      </c>
      <c r="P23" t="s">
        <v>1309</v>
      </c>
      <c r="Q23" t="s">
        <v>1315</v>
      </c>
      <c r="R23" t="s">
        <v>1316</v>
      </c>
      <c r="S23" t="s">
        <v>1337</v>
      </c>
      <c r="W23" t="s">
        <v>1366</v>
      </c>
      <c r="AA23">
        <v>0</v>
      </c>
      <c r="AB23">
        <v>0</v>
      </c>
      <c r="AD23">
        <v>0</v>
      </c>
      <c r="AE23">
        <v>0</v>
      </c>
      <c r="AF23">
        <v>0</v>
      </c>
      <c r="AG23">
        <v>0</v>
      </c>
    </row>
    <row r="24" spans="1:33">
      <c r="A24" s="1">
        <f>HYPERLINK("https://lsnyc.legalserver.org/matter/dynamic-profile/view/1899182","19-1899182")</f>
        <v>0</v>
      </c>
      <c r="B24" t="s">
        <v>35</v>
      </c>
      <c r="C24" t="s">
        <v>51</v>
      </c>
      <c r="D24" t="s">
        <v>94</v>
      </c>
      <c r="E24" t="s">
        <v>628</v>
      </c>
      <c r="F24">
        <v>5553</v>
      </c>
      <c r="G24" t="s">
        <v>1196</v>
      </c>
      <c r="I24" t="s">
        <v>1298</v>
      </c>
      <c r="J24">
        <v>3</v>
      </c>
      <c r="K24">
        <v>3</v>
      </c>
      <c r="L24">
        <v>1</v>
      </c>
      <c r="M24" t="s">
        <v>1302</v>
      </c>
      <c r="N24">
        <v>25200</v>
      </c>
      <c r="O24">
        <v>11207</v>
      </c>
      <c r="P24" t="s">
        <v>1309</v>
      </c>
      <c r="Q24" t="s">
        <v>1317</v>
      </c>
      <c r="R24" t="s">
        <v>1315</v>
      </c>
      <c r="S24" t="s">
        <v>1337</v>
      </c>
      <c r="W24" t="s">
        <v>1366</v>
      </c>
      <c r="AA24">
        <v>0</v>
      </c>
      <c r="AB24">
        <v>0</v>
      </c>
      <c r="AD24">
        <v>0</v>
      </c>
      <c r="AE24">
        <v>0</v>
      </c>
      <c r="AF24">
        <v>0</v>
      </c>
      <c r="AG24">
        <v>0</v>
      </c>
    </row>
    <row r="25" spans="1:33">
      <c r="A25" s="1">
        <f>HYPERLINK("https://lsnyc.legalserver.org/matter/dynamic-profile/view/1886961","19-1886961")</f>
        <v>0</v>
      </c>
      <c r="B25" t="s">
        <v>36</v>
      </c>
      <c r="C25" t="s">
        <v>52</v>
      </c>
      <c r="D25" t="s">
        <v>95</v>
      </c>
      <c r="E25" t="s">
        <v>629</v>
      </c>
      <c r="F25">
        <v>5440</v>
      </c>
      <c r="G25" t="s">
        <v>1185</v>
      </c>
      <c r="I25" t="s">
        <v>1298</v>
      </c>
      <c r="J25">
        <v>1</v>
      </c>
      <c r="K25">
        <v>0</v>
      </c>
      <c r="L25">
        <v>0</v>
      </c>
      <c r="M25" t="s">
        <v>1305</v>
      </c>
      <c r="N25">
        <v>100080</v>
      </c>
      <c r="O25">
        <v>10462</v>
      </c>
      <c r="P25" t="s">
        <v>1310</v>
      </c>
      <c r="Q25" t="s">
        <v>1316</v>
      </c>
      <c r="S25" t="s">
        <v>1336</v>
      </c>
      <c r="W25" t="s">
        <v>1370</v>
      </c>
      <c r="Y25" t="s">
        <v>1365</v>
      </c>
      <c r="AA25">
        <v>0</v>
      </c>
      <c r="AB25">
        <v>0</v>
      </c>
      <c r="AD25">
        <v>0</v>
      </c>
      <c r="AE25">
        <v>0</v>
      </c>
      <c r="AF25">
        <v>0</v>
      </c>
      <c r="AG25">
        <v>0</v>
      </c>
    </row>
    <row r="26" spans="1:33">
      <c r="A26" s="1">
        <f>HYPERLINK("https://lsnyc.legalserver.org/matter/dynamic-profile/view/1877071","18-1877071")</f>
        <v>0</v>
      </c>
      <c r="B26" t="s">
        <v>33</v>
      </c>
      <c r="C26" t="s">
        <v>53</v>
      </c>
      <c r="D26" t="s">
        <v>96</v>
      </c>
      <c r="E26" t="s">
        <v>630</v>
      </c>
      <c r="F26">
        <v>5437</v>
      </c>
      <c r="G26" t="s">
        <v>1197</v>
      </c>
      <c r="I26" t="s">
        <v>1298</v>
      </c>
      <c r="J26">
        <v>1</v>
      </c>
      <c r="K26">
        <v>0</v>
      </c>
      <c r="L26">
        <v>0</v>
      </c>
      <c r="N26">
        <v>14700</v>
      </c>
      <c r="O26">
        <v>10304</v>
      </c>
      <c r="P26" t="s">
        <v>1307</v>
      </c>
      <c r="Q26" t="s">
        <v>1315</v>
      </c>
      <c r="S26" t="s">
        <v>1333</v>
      </c>
      <c r="T26" t="s">
        <v>1336</v>
      </c>
      <c r="W26" t="s">
        <v>1370</v>
      </c>
      <c r="Y26" t="s">
        <v>1376</v>
      </c>
      <c r="AA26">
        <v>0</v>
      </c>
      <c r="AB26">
        <v>0</v>
      </c>
      <c r="AC26" t="s">
        <v>1395</v>
      </c>
      <c r="AD26">
        <v>0</v>
      </c>
      <c r="AE26">
        <v>0</v>
      </c>
      <c r="AF26">
        <v>0</v>
      </c>
      <c r="AG26">
        <v>0</v>
      </c>
    </row>
    <row r="27" spans="1:33">
      <c r="A27" s="1">
        <f>HYPERLINK("https://lsnyc.legalserver.org/matter/dynamic-profile/view/1858539","18-1858539")</f>
        <v>0</v>
      </c>
      <c r="B27" t="s">
        <v>34</v>
      </c>
      <c r="C27" t="s">
        <v>54</v>
      </c>
      <c r="D27" t="s">
        <v>97</v>
      </c>
      <c r="E27" t="s">
        <v>614</v>
      </c>
      <c r="F27">
        <v>5442</v>
      </c>
      <c r="G27" t="s">
        <v>1198</v>
      </c>
      <c r="I27" t="s">
        <v>1298</v>
      </c>
      <c r="J27">
        <v>2</v>
      </c>
      <c r="K27">
        <v>1</v>
      </c>
      <c r="L27">
        <v>1</v>
      </c>
      <c r="M27" t="s">
        <v>1302</v>
      </c>
      <c r="N27">
        <v>43080</v>
      </c>
      <c r="O27">
        <v>11369</v>
      </c>
      <c r="P27" t="s">
        <v>1308</v>
      </c>
      <c r="Q27" t="s">
        <v>1324</v>
      </c>
      <c r="S27" t="s">
        <v>1339</v>
      </c>
      <c r="W27" t="s">
        <v>1371</v>
      </c>
      <c r="AA27">
        <v>0</v>
      </c>
      <c r="AB27">
        <v>0</v>
      </c>
      <c r="AD27">
        <v>0</v>
      </c>
      <c r="AE27">
        <v>0</v>
      </c>
      <c r="AF27">
        <v>0</v>
      </c>
      <c r="AG27">
        <v>0</v>
      </c>
    </row>
    <row r="28" spans="1:33">
      <c r="A28" s="1">
        <f>HYPERLINK("https://lsnyc.legalserver.org/matter/dynamic-profile/view/1867820","18-1867820")</f>
        <v>0</v>
      </c>
      <c r="B28" t="s">
        <v>34</v>
      </c>
      <c r="C28" t="s">
        <v>42</v>
      </c>
      <c r="D28" t="s">
        <v>98</v>
      </c>
      <c r="E28" t="s">
        <v>631</v>
      </c>
      <c r="F28">
        <v>5442</v>
      </c>
      <c r="G28" t="s">
        <v>1188</v>
      </c>
      <c r="I28" t="s">
        <v>1298</v>
      </c>
      <c r="J28">
        <v>2</v>
      </c>
      <c r="K28">
        <v>3</v>
      </c>
      <c r="L28">
        <v>0</v>
      </c>
      <c r="M28" t="s">
        <v>1301</v>
      </c>
      <c r="N28">
        <v>75400</v>
      </c>
      <c r="O28">
        <v>11422</v>
      </c>
      <c r="P28" t="s">
        <v>1308</v>
      </c>
      <c r="Q28" t="s">
        <v>1315</v>
      </c>
      <c r="S28" t="s">
        <v>1333</v>
      </c>
      <c r="T28" t="s">
        <v>1332</v>
      </c>
      <c r="U28" t="s">
        <v>1352</v>
      </c>
      <c r="W28" t="s">
        <v>1360</v>
      </c>
      <c r="Y28" t="s">
        <v>1361</v>
      </c>
      <c r="AA28">
        <v>1709.71</v>
      </c>
      <c r="AB28">
        <v>0</v>
      </c>
      <c r="AD28">
        <v>121301.78</v>
      </c>
      <c r="AE28">
        <v>0</v>
      </c>
      <c r="AF28">
        <v>0</v>
      </c>
      <c r="AG28">
        <v>0</v>
      </c>
    </row>
    <row r="29" spans="1:33">
      <c r="A29" s="1">
        <f>HYPERLINK("https://lsnyc.legalserver.org/matter/dynamic-profile/view/1885742","18-1885742")</f>
        <v>0</v>
      </c>
      <c r="B29" t="s">
        <v>34</v>
      </c>
      <c r="C29" t="s">
        <v>42</v>
      </c>
      <c r="D29" t="s">
        <v>99</v>
      </c>
      <c r="E29" t="s">
        <v>629</v>
      </c>
      <c r="F29">
        <v>5442</v>
      </c>
      <c r="G29" t="s">
        <v>1182</v>
      </c>
      <c r="I29" t="s">
        <v>1298</v>
      </c>
      <c r="J29">
        <v>3</v>
      </c>
      <c r="K29">
        <v>1</v>
      </c>
      <c r="L29">
        <v>0</v>
      </c>
      <c r="M29" t="s">
        <v>1301</v>
      </c>
      <c r="N29">
        <v>36480</v>
      </c>
      <c r="O29">
        <v>11434</v>
      </c>
      <c r="P29" t="s">
        <v>1308</v>
      </c>
      <c r="Q29" t="s">
        <v>1315</v>
      </c>
      <c r="S29" t="s">
        <v>1332</v>
      </c>
      <c r="T29" t="s">
        <v>1337</v>
      </c>
      <c r="AA29">
        <v>0</v>
      </c>
      <c r="AB29">
        <v>0</v>
      </c>
      <c r="AD29">
        <v>0</v>
      </c>
      <c r="AE29">
        <v>0</v>
      </c>
      <c r="AF29">
        <v>0</v>
      </c>
      <c r="AG29">
        <v>0</v>
      </c>
    </row>
    <row r="30" spans="1:33">
      <c r="A30" s="1">
        <f>HYPERLINK("https://lsnyc.legalserver.org/matter/dynamic-profile/view/1892055","19-1892055")</f>
        <v>0</v>
      </c>
      <c r="B30" t="s">
        <v>33</v>
      </c>
      <c r="C30" t="s">
        <v>53</v>
      </c>
      <c r="D30" t="s">
        <v>100</v>
      </c>
      <c r="E30" t="s">
        <v>147</v>
      </c>
      <c r="F30">
        <v>5437</v>
      </c>
      <c r="G30" t="s">
        <v>1183</v>
      </c>
      <c r="I30" t="s">
        <v>1298</v>
      </c>
      <c r="J30">
        <v>2</v>
      </c>
      <c r="K30">
        <v>1</v>
      </c>
      <c r="L30">
        <v>0</v>
      </c>
      <c r="N30">
        <v>80000</v>
      </c>
      <c r="O30">
        <v>10310</v>
      </c>
      <c r="P30" t="s">
        <v>1307</v>
      </c>
      <c r="Q30" t="s">
        <v>1316</v>
      </c>
      <c r="S30" t="s">
        <v>1337</v>
      </c>
      <c r="W30" t="s">
        <v>1366</v>
      </c>
      <c r="AA30">
        <v>0</v>
      </c>
      <c r="AB30">
        <v>0</v>
      </c>
      <c r="AD30">
        <v>0</v>
      </c>
      <c r="AE30">
        <v>0</v>
      </c>
      <c r="AF30">
        <v>0</v>
      </c>
      <c r="AG30">
        <v>0</v>
      </c>
    </row>
    <row r="31" spans="1:33">
      <c r="A31" s="1">
        <f>HYPERLINK("https://lsnyc.legalserver.org/matter/dynamic-profile/view/1886951","19-1886951")</f>
        <v>0</v>
      </c>
      <c r="B31" t="s">
        <v>36</v>
      </c>
      <c r="C31" t="s">
        <v>52</v>
      </c>
      <c r="D31" t="s">
        <v>101</v>
      </c>
      <c r="E31" t="s">
        <v>210</v>
      </c>
      <c r="F31">
        <v>5440</v>
      </c>
      <c r="G31" t="s">
        <v>1199</v>
      </c>
      <c r="I31" t="s">
        <v>1298</v>
      </c>
      <c r="J31">
        <v>1</v>
      </c>
      <c r="K31">
        <v>0</v>
      </c>
      <c r="L31">
        <v>0</v>
      </c>
      <c r="M31" t="s">
        <v>1302</v>
      </c>
      <c r="N31">
        <v>119600</v>
      </c>
      <c r="O31">
        <v>10467</v>
      </c>
      <c r="P31" t="s">
        <v>1310</v>
      </c>
      <c r="Q31" t="s">
        <v>1321</v>
      </c>
      <c r="R31" t="s">
        <v>1320</v>
      </c>
      <c r="S31" t="s">
        <v>1336</v>
      </c>
      <c r="W31" t="s">
        <v>1370</v>
      </c>
      <c r="Y31" t="s">
        <v>1368</v>
      </c>
      <c r="AA31">
        <v>0</v>
      </c>
      <c r="AB31">
        <v>0</v>
      </c>
      <c r="AD31">
        <v>0</v>
      </c>
      <c r="AE31">
        <v>0</v>
      </c>
      <c r="AF31">
        <v>0</v>
      </c>
      <c r="AG31">
        <v>0</v>
      </c>
    </row>
    <row r="32" spans="1:33">
      <c r="A32" s="1">
        <f>HYPERLINK("https://lsnyc.legalserver.org/matter/dynamic-profile/view/1895957","19-1895957")</f>
        <v>0</v>
      </c>
      <c r="B32" t="s">
        <v>35</v>
      </c>
      <c r="C32" t="s">
        <v>55</v>
      </c>
      <c r="D32" t="s">
        <v>102</v>
      </c>
      <c r="E32" t="s">
        <v>632</v>
      </c>
      <c r="F32">
        <v>5553</v>
      </c>
      <c r="G32" t="s">
        <v>1179</v>
      </c>
      <c r="I32" t="s">
        <v>1298</v>
      </c>
      <c r="J32">
        <v>3</v>
      </c>
      <c r="K32">
        <v>0</v>
      </c>
      <c r="L32">
        <v>2</v>
      </c>
      <c r="N32">
        <v>67202.75999999999</v>
      </c>
      <c r="O32">
        <v>11203</v>
      </c>
      <c r="P32" t="s">
        <v>1309</v>
      </c>
      <c r="Q32" t="s">
        <v>1317</v>
      </c>
      <c r="S32" t="s">
        <v>1334</v>
      </c>
      <c r="T32" t="s">
        <v>1333</v>
      </c>
      <c r="U32" t="s">
        <v>1352</v>
      </c>
      <c r="W32" t="s">
        <v>1366</v>
      </c>
      <c r="AA32">
        <v>2624.23</v>
      </c>
      <c r="AB32">
        <v>0</v>
      </c>
      <c r="AD32">
        <v>119010.6</v>
      </c>
      <c r="AE32">
        <v>0</v>
      </c>
      <c r="AF32">
        <v>0</v>
      </c>
      <c r="AG32">
        <v>0</v>
      </c>
    </row>
    <row r="33" spans="1:33">
      <c r="A33" s="1">
        <f>HYPERLINK("https://lsnyc.legalserver.org/matter/dynamic-profile/view/1871748","18-1871748")</f>
        <v>0</v>
      </c>
      <c r="B33" t="s">
        <v>34</v>
      </c>
      <c r="C33" t="s">
        <v>44</v>
      </c>
      <c r="D33" t="s">
        <v>103</v>
      </c>
      <c r="E33" t="s">
        <v>633</v>
      </c>
      <c r="F33">
        <v>5442</v>
      </c>
      <c r="I33" t="s">
        <v>1298</v>
      </c>
      <c r="J33">
        <v>2</v>
      </c>
      <c r="K33">
        <v>0</v>
      </c>
      <c r="L33">
        <v>1</v>
      </c>
      <c r="M33" t="s">
        <v>1302</v>
      </c>
      <c r="N33">
        <v>39156</v>
      </c>
      <c r="O33">
        <v>11692</v>
      </c>
      <c r="P33" t="s">
        <v>1308</v>
      </c>
      <c r="Q33" t="s">
        <v>1324</v>
      </c>
      <c r="S33" t="s">
        <v>1336</v>
      </c>
      <c r="T33" t="s">
        <v>1339</v>
      </c>
      <c r="W33" t="s">
        <v>1366</v>
      </c>
      <c r="Y33" t="s">
        <v>1376</v>
      </c>
      <c r="AA33">
        <v>0</v>
      </c>
      <c r="AB33">
        <v>0</v>
      </c>
      <c r="AD33">
        <v>0</v>
      </c>
      <c r="AE33">
        <v>0</v>
      </c>
      <c r="AF33">
        <v>0</v>
      </c>
      <c r="AG33">
        <v>0</v>
      </c>
    </row>
    <row r="34" spans="1:33">
      <c r="A34" s="1">
        <f>HYPERLINK("https://lsnyc.legalserver.org/matter/dynamic-profile/view/1886882","19-1886882")</f>
        <v>0</v>
      </c>
      <c r="B34" t="s">
        <v>33</v>
      </c>
      <c r="C34" t="s">
        <v>56</v>
      </c>
      <c r="D34" t="s">
        <v>104</v>
      </c>
      <c r="E34" t="s">
        <v>634</v>
      </c>
      <c r="F34">
        <v>5437</v>
      </c>
      <c r="G34" t="s">
        <v>1200</v>
      </c>
      <c r="H34" t="s">
        <v>1200</v>
      </c>
      <c r="I34" t="s">
        <v>1298</v>
      </c>
      <c r="J34">
        <v>1</v>
      </c>
      <c r="K34">
        <v>0</v>
      </c>
      <c r="L34">
        <v>0</v>
      </c>
      <c r="M34" t="s">
        <v>1301</v>
      </c>
      <c r="N34">
        <v>37067.28</v>
      </c>
      <c r="O34">
        <v>10304</v>
      </c>
      <c r="P34" t="s">
        <v>1307</v>
      </c>
      <c r="Q34" t="s">
        <v>1314</v>
      </c>
      <c r="R34" t="s">
        <v>1316</v>
      </c>
      <c r="S34" t="s">
        <v>1333</v>
      </c>
      <c r="W34" t="s">
        <v>1372</v>
      </c>
      <c r="AA34">
        <v>0</v>
      </c>
      <c r="AB34">
        <v>0</v>
      </c>
      <c r="AD34">
        <v>0</v>
      </c>
      <c r="AE34">
        <v>0</v>
      </c>
      <c r="AF34">
        <v>0</v>
      </c>
      <c r="AG34">
        <v>0</v>
      </c>
    </row>
    <row r="35" spans="1:33">
      <c r="A35" s="1">
        <f>HYPERLINK("https://lsnyc.legalserver.org/matter/dynamic-profile/view/0770699","15-0770699")</f>
        <v>0</v>
      </c>
      <c r="B35" t="s">
        <v>34</v>
      </c>
      <c r="C35" t="s">
        <v>42</v>
      </c>
      <c r="D35" t="s">
        <v>93</v>
      </c>
      <c r="E35" t="s">
        <v>635</v>
      </c>
      <c r="F35">
        <v>5442</v>
      </c>
      <c r="G35" t="s">
        <v>1201</v>
      </c>
      <c r="I35" t="s">
        <v>1298</v>
      </c>
      <c r="J35">
        <v>1</v>
      </c>
      <c r="K35">
        <v>0</v>
      </c>
      <c r="L35">
        <v>0</v>
      </c>
      <c r="M35" t="s">
        <v>1301</v>
      </c>
      <c r="N35">
        <v>40000</v>
      </c>
      <c r="O35">
        <v>11412</v>
      </c>
      <c r="P35" t="s">
        <v>1308</v>
      </c>
      <c r="Q35" t="s">
        <v>1315</v>
      </c>
      <c r="S35" t="s">
        <v>1338</v>
      </c>
      <c r="T35" t="s">
        <v>1333</v>
      </c>
      <c r="U35" t="s">
        <v>1355</v>
      </c>
      <c r="AA35">
        <v>0</v>
      </c>
      <c r="AB35">
        <v>0</v>
      </c>
      <c r="AD35">
        <v>0</v>
      </c>
      <c r="AE35">
        <v>0</v>
      </c>
      <c r="AF35">
        <v>0</v>
      </c>
      <c r="AG35">
        <v>0</v>
      </c>
    </row>
    <row r="36" spans="1:33">
      <c r="A36" s="1">
        <f>HYPERLINK("https://lsnyc.legalserver.org/matter/dynamic-profile/view/0794071","15-0794071")</f>
        <v>0</v>
      </c>
      <c r="B36" t="s">
        <v>35</v>
      </c>
      <c r="C36" t="s">
        <v>40</v>
      </c>
      <c r="D36" t="s">
        <v>105</v>
      </c>
      <c r="E36" t="s">
        <v>636</v>
      </c>
      <c r="F36">
        <v>5553</v>
      </c>
      <c r="G36" t="s">
        <v>1183</v>
      </c>
      <c r="I36" t="s">
        <v>1298</v>
      </c>
      <c r="J36">
        <v>2</v>
      </c>
      <c r="K36">
        <v>0</v>
      </c>
      <c r="L36">
        <v>1</v>
      </c>
      <c r="M36" t="s">
        <v>1303</v>
      </c>
      <c r="N36">
        <v>35510.08</v>
      </c>
      <c r="O36">
        <v>11216</v>
      </c>
      <c r="P36" t="s">
        <v>1309</v>
      </c>
      <c r="Q36" t="s">
        <v>1315</v>
      </c>
      <c r="S36" t="s">
        <v>1338</v>
      </c>
      <c r="T36" t="s">
        <v>1336</v>
      </c>
      <c r="W36" t="s">
        <v>1361</v>
      </c>
      <c r="Y36" t="s">
        <v>1365</v>
      </c>
      <c r="AA36">
        <v>0</v>
      </c>
      <c r="AB36">
        <v>0</v>
      </c>
      <c r="AD36">
        <v>0</v>
      </c>
      <c r="AE36">
        <v>0</v>
      </c>
      <c r="AF36">
        <v>0</v>
      </c>
      <c r="AG36">
        <v>0</v>
      </c>
    </row>
    <row r="37" spans="1:33">
      <c r="A37" s="1">
        <f>HYPERLINK("https://lsnyc.legalserver.org/matter/dynamic-profile/view/0810719","16-0810719")</f>
        <v>0</v>
      </c>
      <c r="B37" t="s">
        <v>34</v>
      </c>
      <c r="C37" t="s">
        <v>49</v>
      </c>
      <c r="D37" t="s">
        <v>106</v>
      </c>
      <c r="E37" t="s">
        <v>637</v>
      </c>
      <c r="F37">
        <v>5442</v>
      </c>
      <c r="G37" t="s">
        <v>1179</v>
      </c>
      <c r="I37" t="s">
        <v>1298</v>
      </c>
      <c r="J37">
        <v>4</v>
      </c>
      <c r="K37">
        <v>0</v>
      </c>
      <c r="L37">
        <v>1</v>
      </c>
      <c r="M37" t="s">
        <v>1302</v>
      </c>
      <c r="N37">
        <v>76800</v>
      </c>
      <c r="O37">
        <v>11433</v>
      </c>
      <c r="P37" t="s">
        <v>1308</v>
      </c>
      <c r="Q37" t="s">
        <v>1325</v>
      </c>
      <c r="S37" t="s">
        <v>1333</v>
      </c>
      <c r="T37" t="s">
        <v>1340</v>
      </c>
      <c r="AA37">
        <v>0</v>
      </c>
      <c r="AB37">
        <v>0</v>
      </c>
      <c r="AD37">
        <v>0</v>
      </c>
      <c r="AE37">
        <v>0</v>
      </c>
      <c r="AF37">
        <v>0</v>
      </c>
      <c r="AG37">
        <v>0</v>
      </c>
    </row>
    <row r="38" spans="1:33">
      <c r="A38" s="1">
        <f>HYPERLINK("https://lsnyc.legalserver.org/matter/dynamic-profile/view/0816418","16-0816418")</f>
        <v>0</v>
      </c>
      <c r="B38" t="s">
        <v>35</v>
      </c>
      <c r="C38" t="s">
        <v>40</v>
      </c>
      <c r="D38" t="s">
        <v>107</v>
      </c>
      <c r="E38" t="s">
        <v>638</v>
      </c>
      <c r="F38">
        <v>5553</v>
      </c>
      <c r="G38" t="s">
        <v>1199</v>
      </c>
      <c r="I38" t="s">
        <v>1298</v>
      </c>
      <c r="J38">
        <v>1</v>
      </c>
      <c r="K38">
        <v>0</v>
      </c>
      <c r="L38">
        <v>1</v>
      </c>
      <c r="M38" t="s">
        <v>1301</v>
      </c>
      <c r="N38">
        <v>39456.72</v>
      </c>
      <c r="O38">
        <v>11208</v>
      </c>
      <c r="P38" t="s">
        <v>1309</v>
      </c>
      <c r="Q38" t="s">
        <v>1319</v>
      </c>
      <c r="S38" t="s">
        <v>1333</v>
      </c>
      <c r="T38" t="s">
        <v>1340</v>
      </c>
      <c r="U38" t="s">
        <v>1354</v>
      </c>
      <c r="W38" t="s">
        <v>1365</v>
      </c>
      <c r="Y38" t="s">
        <v>1366</v>
      </c>
      <c r="AA38">
        <v>0</v>
      </c>
      <c r="AB38">
        <v>0</v>
      </c>
      <c r="AD38">
        <v>0</v>
      </c>
      <c r="AE38">
        <v>0</v>
      </c>
      <c r="AF38">
        <v>0</v>
      </c>
      <c r="AG38">
        <v>0</v>
      </c>
    </row>
    <row r="39" spans="1:33">
      <c r="A39" s="1">
        <f>HYPERLINK("https://lsnyc.legalserver.org/matter/dynamic-profile/view/1834264","17-1834264")</f>
        <v>0</v>
      </c>
      <c r="B39" t="s">
        <v>34</v>
      </c>
      <c r="C39" t="s">
        <v>57</v>
      </c>
      <c r="D39" t="s">
        <v>108</v>
      </c>
      <c r="E39" t="s">
        <v>614</v>
      </c>
      <c r="F39">
        <v>5442</v>
      </c>
      <c r="G39" t="s">
        <v>1184</v>
      </c>
      <c r="H39" t="s">
        <v>1291</v>
      </c>
      <c r="I39" t="s">
        <v>1298</v>
      </c>
      <c r="J39">
        <v>1</v>
      </c>
      <c r="K39">
        <v>0</v>
      </c>
      <c r="L39">
        <v>0</v>
      </c>
      <c r="M39" t="s">
        <v>1302</v>
      </c>
      <c r="N39">
        <v>66876</v>
      </c>
      <c r="O39">
        <v>11434</v>
      </c>
      <c r="P39" t="s">
        <v>1308</v>
      </c>
      <c r="Q39" t="s">
        <v>1319</v>
      </c>
      <c r="S39" t="s">
        <v>1334</v>
      </c>
      <c r="T39" t="s">
        <v>1341</v>
      </c>
      <c r="AA39">
        <v>0</v>
      </c>
      <c r="AB39">
        <v>0</v>
      </c>
      <c r="AD39">
        <v>0</v>
      </c>
      <c r="AE39">
        <v>0</v>
      </c>
      <c r="AF39">
        <v>0</v>
      </c>
      <c r="AG39">
        <v>0</v>
      </c>
    </row>
    <row r="40" spans="1:33">
      <c r="A40" s="1">
        <f>HYPERLINK("https://lsnyc.legalserver.org/matter/dynamic-profile/view/1847189","17-1847189")</f>
        <v>0</v>
      </c>
      <c r="B40" t="s">
        <v>35</v>
      </c>
      <c r="C40" t="s">
        <v>55</v>
      </c>
      <c r="D40" t="s">
        <v>109</v>
      </c>
      <c r="E40" t="s">
        <v>639</v>
      </c>
      <c r="F40">
        <v>5553</v>
      </c>
      <c r="I40" t="s">
        <v>1298</v>
      </c>
      <c r="J40">
        <v>3</v>
      </c>
      <c r="K40">
        <v>0</v>
      </c>
      <c r="L40">
        <v>2</v>
      </c>
      <c r="N40">
        <v>47200</v>
      </c>
      <c r="O40">
        <v>11210</v>
      </c>
      <c r="P40" t="s">
        <v>1309</v>
      </c>
      <c r="Q40" t="s">
        <v>1316</v>
      </c>
      <c r="S40" t="s">
        <v>1334</v>
      </c>
      <c r="AA40">
        <v>0</v>
      </c>
      <c r="AB40">
        <v>0</v>
      </c>
      <c r="AD40">
        <v>0</v>
      </c>
      <c r="AE40">
        <v>0</v>
      </c>
      <c r="AF40">
        <v>0</v>
      </c>
      <c r="AG40">
        <v>0</v>
      </c>
    </row>
    <row r="41" spans="1:33">
      <c r="A41" s="1">
        <f>HYPERLINK("https://lsnyc.legalserver.org/matter/dynamic-profile/view/1850786","17-1850786")</f>
        <v>0</v>
      </c>
      <c r="B41" t="s">
        <v>36</v>
      </c>
      <c r="C41" t="s">
        <v>58</v>
      </c>
      <c r="D41" t="s">
        <v>110</v>
      </c>
      <c r="E41" t="s">
        <v>640</v>
      </c>
      <c r="F41">
        <v>5440</v>
      </c>
      <c r="G41" t="s">
        <v>1202</v>
      </c>
      <c r="I41" t="s">
        <v>1298</v>
      </c>
      <c r="J41">
        <v>1</v>
      </c>
      <c r="K41">
        <v>0</v>
      </c>
      <c r="L41">
        <v>1</v>
      </c>
      <c r="M41" t="s">
        <v>1301</v>
      </c>
      <c r="N41">
        <v>62400</v>
      </c>
      <c r="O41">
        <v>10468</v>
      </c>
      <c r="P41" t="s">
        <v>1310</v>
      </c>
      <c r="Q41" t="s">
        <v>1320</v>
      </c>
      <c r="R41" t="s">
        <v>1314</v>
      </c>
      <c r="S41" t="s">
        <v>1340</v>
      </c>
      <c r="T41" t="s">
        <v>1333</v>
      </c>
      <c r="U41" t="s">
        <v>1354</v>
      </c>
      <c r="W41" t="s">
        <v>1366</v>
      </c>
      <c r="Y41" t="s">
        <v>1370</v>
      </c>
      <c r="AA41">
        <v>0</v>
      </c>
      <c r="AB41">
        <v>0</v>
      </c>
      <c r="AC41">
        <v>42738.77</v>
      </c>
      <c r="AD41">
        <v>0</v>
      </c>
      <c r="AE41">
        <v>0</v>
      </c>
      <c r="AF41">
        <v>0</v>
      </c>
      <c r="AG41">
        <v>0</v>
      </c>
    </row>
    <row r="42" spans="1:33">
      <c r="A42" s="1">
        <f>HYPERLINK("https://lsnyc.legalserver.org/matter/dynamic-profile/view/1852243","17-1852243")</f>
        <v>0</v>
      </c>
      <c r="B42" t="s">
        <v>33</v>
      </c>
      <c r="C42" t="s">
        <v>56</v>
      </c>
      <c r="D42" t="s">
        <v>111</v>
      </c>
      <c r="E42" t="s">
        <v>641</v>
      </c>
      <c r="F42">
        <v>5437</v>
      </c>
      <c r="G42" t="s">
        <v>1181</v>
      </c>
      <c r="I42" t="s">
        <v>1298</v>
      </c>
      <c r="J42">
        <v>3</v>
      </c>
      <c r="K42">
        <v>2</v>
      </c>
      <c r="L42">
        <v>0</v>
      </c>
      <c r="M42" t="s">
        <v>1302</v>
      </c>
      <c r="N42">
        <v>31200</v>
      </c>
      <c r="O42">
        <v>10301</v>
      </c>
      <c r="P42" t="s">
        <v>1307</v>
      </c>
      <c r="Q42" t="s">
        <v>1315</v>
      </c>
      <c r="R42" t="s">
        <v>1321</v>
      </c>
      <c r="S42" t="s">
        <v>1336</v>
      </c>
      <c r="W42" t="s">
        <v>1366</v>
      </c>
      <c r="AA42">
        <v>0</v>
      </c>
      <c r="AB42">
        <v>0</v>
      </c>
      <c r="AD42">
        <v>0</v>
      </c>
      <c r="AE42">
        <v>0</v>
      </c>
      <c r="AF42">
        <v>0</v>
      </c>
      <c r="AG42">
        <v>0</v>
      </c>
    </row>
    <row r="43" spans="1:33">
      <c r="A43" s="1">
        <f>HYPERLINK("https://lsnyc.legalserver.org/matter/dynamic-profile/view/1863022","18-1863022")</f>
        <v>0</v>
      </c>
      <c r="B43" t="s">
        <v>36</v>
      </c>
      <c r="C43" t="s">
        <v>58</v>
      </c>
      <c r="D43" t="s">
        <v>112</v>
      </c>
      <c r="E43" t="s">
        <v>642</v>
      </c>
      <c r="F43">
        <v>5440</v>
      </c>
      <c r="G43" t="s">
        <v>1203</v>
      </c>
      <c r="I43" t="s">
        <v>1298</v>
      </c>
      <c r="J43">
        <v>2</v>
      </c>
      <c r="K43">
        <v>0</v>
      </c>
      <c r="L43">
        <v>1</v>
      </c>
      <c r="M43" t="s">
        <v>1301</v>
      </c>
      <c r="N43">
        <v>34860</v>
      </c>
      <c r="O43">
        <v>10466</v>
      </c>
      <c r="P43" t="s">
        <v>1310</v>
      </c>
      <c r="Q43" t="s">
        <v>1315</v>
      </c>
      <c r="S43" t="s">
        <v>1337</v>
      </c>
      <c r="W43" t="s">
        <v>1366</v>
      </c>
      <c r="AA43">
        <v>0</v>
      </c>
      <c r="AB43">
        <v>0</v>
      </c>
      <c r="AD43">
        <v>0</v>
      </c>
      <c r="AE43">
        <v>0</v>
      </c>
      <c r="AF43">
        <v>0</v>
      </c>
      <c r="AG43">
        <v>0</v>
      </c>
    </row>
    <row r="44" spans="1:33">
      <c r="A44" s="1">
        <f>HYPERLINK("https://lsnyc.legalserver.org/matter/dynamic-profile/view/1863694","18-1863694")</f>
        <v>0</v>
      </c>
      <c r="B44" t="s">
        <v>36</v>
      </c>
      <c r="C44" t="s">
        <v>59</v>
      </c>
      <c r="D44" t="s">
        <v>113</v>
      </c>
      <c r="E44" t="s">
        <v>643</v>
      </c>
      <c r="F44">
        <v>5440</v>
      </c>
      <c r="G44" t="s">
        <v>1204</v>
      </c>
      <c r="I44" t="s">
        <v>1298</v>
      </c>
      <c r="J44">
        <v>3</v>
      </c>
      <c r="K44">
        <v>0</v>
      </c>
      <c r="L44">
        <v>1</v>
      </c>
      <c r="M44" t="s">
        <v>1302</v>
      </c>
      <c r="N44">
        <v>52200</v>
      </c>
      <c r="O44">
        <v>10469</v>
      </c>
      <c r="P44" t="s">
        <v>1310</v>
      </c>
      <c r="Q44" t="s">
        <v>1324</v>
      </c>
      <c r="S44" t="s">
        <v>1341</v>
      </c>
      <c r="T44" t="s">
        <v>1334</v>
      </c>
      <c r="W44" t="s">
        <v>1369</v>
      </c>
      <c r="Y44" t="s">
        <v>1368</v>
      </c>
      <c r="AA44">
        <v>0</v>
      </c>
      <c r="AB44">
        <v>0</v>
      </c>
      <c r="AD44">
        <v>0</v>
      </c>
      <c r="AE44">
        <v>0</v>
      </c>
      <c r="AF44">
        <v>0</v>
      </c>
      <c r="AG44">
        <v>0</v>
      </c>
    </row>
    <row r="45" spans="1:33">
      <c r="A45" s="1">
        <f>HYPERLINK("https://lsnyc.legalserver.org/matter/dynamic-profile/view/1863714","18-1863714")</f>
        <v>0</v>
      </c>
      <c r="B45" t="s">
        <v>36</v>
      </c>
      <c r="C45" t="s">
        <v>58</v>
      </c>
      <c r="D45" t="s">
        <v>114</v>
      </c>
      <c r="E45" t="s">
        <v>644</v>
      </c>
      <c r="F45">
        <v>5440</v>
      </c>
      <c r="G45" t="s">
        <v>1205</v>
      </c>
      <c r="I45" t="s">
        <v>1298</v>
      </c>
      <c r="J45">
        <v>2</v>
      </c>
      <c r="K45">
        <v>0</v>
      </c>
      <c r="L45">
        <v>0</v>
      </c>
      <c r="N45">
        <v>30000</v>
      </c>
      <c r="O45">
        <v>10469</v>
      </c>
      <c r="P45" t="s">
        <v>1310</v>
      </c>
      <c r="Q45" t="s">
        <v>1319</v>
      </c>
      <c r="S45" t="s">
        <v>1332</v>
      </c>
      <c r="T45" t="s">
        <v>1333</v>
      </c>
      <c r="W45" t="s">
        <v>1361</v>
      </c>
      <c r="Y45" t="s">
        <v>1365</v>
      </c>
      <c r="AA45">
        <v>0</v>
      </c>
      <c r="AB45">
        <v>0</v>
      </c>
      <c r="AD45">
        <v>0</v>
      </c>
      <c r="AE45">
        <v>0</v>
      </c>
      <c r="AF45">
        <v>0</v>
      </c>
      <c r="AG45">
        <v>0</v>
      </c>
    </row>
    <row r="46" spans="1:33">
      <c r="A46" s="1">
        <f>HYPERLINK("https://lsnyc.legalserver.org/matter/dynamic-profile/view/1864946","18-1864946")</f>
        <v>0</v>
      </c>
      <c r="B46" t="s">
        <v>34</v>
      </c>
      <c r="C46" t="s">
        <v>60</v>
      </c>
      <c r="D46" t="s">
        <v>115</v>
      </c>
      <c r="E46" t="s">
        <v>645</v>
      </c>
      <c r="F46">
        <v>5442</v>
      </c>
      <c r="G46" t="s">
        <v>1206</v>
      </c>
      <c r="I46" t="s">
        <v>1298</v>
      </c>
      <c r="J46">
        <v>2</v>
      </c>
      <c r="K46">
        <v>0</v>
      </c>
      <c r="L46">
        <v>0</v>
      </c>
      <c r="M46" t="s">
        <v>1301</v>
      </c>
      <c r="N46">
        <v>3996</v>
      </c>
      <c r="O46">
        <v>11423</v>
      </c>
      <c r="P46" t="s">
        <v>1308</v>
      </c>
      <c r="Q46" t="s">
        <v>1325</v>
      </c>
      <c r="S46" t="s">
        <v>1332</v>
      </c>
      <c r="W46" t="s">
        <v>1366</v>
      </c>
      <c r="AA46">
        <v>0</v>
      </c>
      <c r="AB46">
        <v>0</v>
      </c>
      <c r="AD46">
        <v>0</v>
      </c>
      <c r="AE46">
        <v>0</v>
      </c>
      <c r="AF46">
        <v>0</v>
      </c>
      <c r="AG46">
        <v>0</v>
      </c>
    </row>
    <row r="47" spans="1:33">
      <c r="A47" s="1">
        <f>HYPERLINK("https://lsnyc.legalserver.org/matter/dynamic-profile/view/1866391","18-1866391")</f>
        <v>0</v>
      </c>
      <c r="B47" t="s">
        <v>36</v>
      </c>
      <c r="C47" t="s">
        <v>58</v>
      </c>
      <c r="D47" t="s">
        <v>116</v>
      </c>
      <c r="E47" t="s">
        <v>646</v>
      </c>
      <c r="F47">
        <v>5440</v>
      </c>
      <c r="G47" t="s">
        <v>1183</v>
      </c>
      <c r="I47" t="s">
        <v>1298</v>
      </c>
      <c r="J47">
        <v>3</v>
      </c>
      <c r="K47">
        <v>0</v>
      </c>
      <c r="L47">
        <v>2</v>
      </c>
      <c r="M47" t="s">
        <v>1302</v>
      </c>
      <c r="N47">
        <v>26000</v>
      </c>
      <c r="O47">
        <v>10469</v>
      </c>
      <c r="P47" t="s">
        <v>1310</v>
      </c>
      <c r="Q47" t="s">
        <v>1315</v>
      </c>
      <c r="S47" t="s">
        <v>1338</v>
      </c>
      <c r="T47" t="s">
        <v>1337</v>
      </c>
      <c r="W47" t="s">
        <v>1370</v>
      </c>
      <c r="Y47" t="s">
        <v>1366</v>
      </c>
      <c r="AA47">
        <v>0</v>
      </c>
      <c r="AB47">
        <v>0</v>
      </c>
      <c r="AC47" t="s">
        <v>1396</v>
      </c>
      <c r="AD47">
        <v>0</v>
      </c>
      <c r="AE47">
        <v>0</v>
      </c>
      <c r="AF47">
        <v>0</v>
      </c>
      <c r="AG47">
        <v>0</v>
      </c>
    </row>
    <row r="48" spans="1:33">
      <c r="A48" s="1">
        <f>HYPERLINK("https://lsnyc.legalserver.org/matter/dynamic-profile/view/1866469","18-1866469")</f>
        <v>0</v>
      </c>
      <c r="B48" t="s">
        <v>35</v>
      </c>
      <c r="C48" t="s">
        <v>55</v>
      </c>
      <c r="D48" t="s">
        <v>117</v>
      </c>
      <c r="E48" t="s">
        <v>410</v>
      </c>
      <c r="F48">
        <v>5553</v>
      </c>
      <c r="I48" t="s">
        <v>1298</v>
      </c>
      <c r="J48">
        <v>1</v>
      </c>
      <c r="K48">
        <v>0</v>
      </c>
      <c r="L48">
        <v>1</v>
      </c>
      <c r="N48">
        <v>10320</v>
      </c>
      <c r="O48">
        <v>11238</v>
      </c>
      <c r="P48" t="s">
        <v>1309</v>
      </c>
      <c r="Q48" t="s">
        <v>1324</v>
      </c>
      <c r="S48" t="s">
        <v>1341</v>
      </c>
      <c r="W48" t="s">
        <v>1369</v>
      </c>
      <c r="AA48">
        <v>0</v>
      </c>
      <c r="AB48">
        <v>0</v>
      </c>
      <c r="AD48">
        <v>0</v>
      </c>
      <c r="AE48">
        <v>0</v>
      </c>
      <c r="AF48">
        <v>0</v>
      </c>
      <c r="AG48">
        <v>0</v>
      </c>
    </row>
    <row r="49" spans="1:33">
      <c r="A49" s="1">
        <f>HYPERLINK("https://lsnyc.legalserver.org/matter/dynamic-profile/view/1871853","18-1871853")</f>
        <v>0</v>
      </c>
      <c r="B49" t="s">
        <v>35</v>
      </c>
      <c r="C49" t="s">
        <v>61</v>
      </c>
      <c r="D49" t="s">
        <v>118</v>
      </c>
      <c r="E49" t="s">
        <v>647</v>
      </c>
      <c r="F49">
        <v>5553</v>
      </c>
      <c r="G49" t="s">
        <v>1207</v>
      </c>
      <c r="I49" t="s">
        <v>1298</v>
      </c>
      <c r="J49">
        <v>2</v>
      </c>
      <c r="K49">
        <v>0</v>
      </c>
      <c r="L49">
        <v>1</v>
      </c>
      <c r="M49" t="s">
        <v>1301</v>
      </c>
      <c r="N49">
        <v>50100</v>
      </c>
      <c r="O49">
        <v>11203</v>
      </c>
      <c r="P49" t="s">
        <v>1309</v>
      </c>
      <c r="Q49" t="s">
        <v>1315</v>
      </c>
      <c r="S49" t="s">
        <v>1333</v>
      </c>
      <c r="T49" t="s">
        <v>1334</v>
      </c>
      <c r="W49" t="s">
        <v>1361</v>
      </c>
      <c r="AA49">
        <v>0</v>
      </c>
      <c r="AB49">
        <v>0</v>
      </c>
      <c r="AD49">
        <v>0</v>
      </c>
      <c r="AE49">
        <v>0</v>
      </c>
      <c r="AF49">
        <v>0</v>
      </c>
      <c r="AG49">
        <v>0</v>
      </c>
    </row>
    <row r="50" spans="1:33">
      <c r="A50" s="1">
        <f>HYPERLINK("https://lsnyc.legalserver.org/matter/dynamic-profile/view/1871182","18-1871182")</f>
        <v>0</v>
      </c>
      <c r="B50" t="s">
        <v>36</v>
      </c>
      <c r="C50" t="s">
        <v>52</v>
      </c>
      <c r="D50" t="s">
        <v>119</v>
      </c>
      <c r="E50" t="s">
        <v>648</v>
      </c>
      <c r="F50">
        <v>5440</v>
      </c>
      <c r="G50" t="s">
        <v>1208</v>
      </c>
      <c r="I50" t="s">
        <v>1298</v>
      </c>
      <c r="J50">
        <v>1</v>
      </c>
      <c r="K50">
        <v>0</v>
      </c>
      <c r="L50">
        <v>0</v>
      </c>
      <c r="M50" t="s">
        <v>1301</v>
      </c>
      <c r="N50">
        <v>30000</v>
      </c>
      <c r="O50">
        <v>10462</v>
      </c>
      <c r="P50" t="s">
        <v>1310</v>
      </c>
      <c r="Q50" t="s">
        <v>1326</v>
      </c>
      <c r="R50" t="s">
        <v>1317</v>
      </c>
      <c r="S50" t="s">
        <v>1332</v>
      </c>
      <c r="T50" t="s">
        <v>1333</v>
      </c>
      <c r="W50" t="s">
        <v>1361</v>
      </c>
      <c r="Y50" t="s">
        <v>1365</v>
      </c>
      <c r="AA50">
        <v>0</v>
      </c>
      <c r="AB50">
        <v>0</v>
      </c>
      <c r="AD50">
        <v>0</v>
      </c>
      <c r="AE50">
        <v>0</v>
      </c>
      <c r="AF50">
        <v>0</v>
      </c>
      <c r="AG50">
        <v>0</v>
      </c>
    </row>
    <row r="51" spans="1:33">
      <c r="A51" s="1">
        <f>HYPERLINK("https://lsnyc.legalserver.org/matter/dynamic-profile/view/1872808","18-1872808")</f>
        <v>0</v>
      </c>
      <c r="B51" t="s">
        <v>36</v>
      </c>
      <c r="C51" t="s">
        <v>58</v>
      </c>
      <c r="D51" t="s">
        <v>120</v>
      </c>
      <c r="E51" t="s">
        <v>649</v>
      </c>
      <c r="F51">
        <v>5440</v>
      </c>
      <c r="I51" t="s">
        <v>1298</v>
      </c>
      <c r="J51">
        <v>0</v>
      </c>
      <c r="K51">
        <v>0</v>
      </c>
      <c r="L51">
        <v>1</v>
      </c>
      <c r="M51" t="s">
        <v>1302</v>
      </c>
      <c r="N51">
        <v>72000</v>
      </c>
      <c r="O51">
        <v>10469</v>
      </c>
      <c r="P51" t="s">
        <v>1310</v>
      </c>
      <c r="Q51" t="s">
        <v>1324</v>
      </c>
      <c r="S51" t="s">
        <v>1341</v>
      </c>
      <c r="T51" t="s">
        <v>1337</v>
      </c>
      <c r="W51" t="s">
        <v>1369</v>
      </c>
      <c r="AA51">
        <v>0</v>
      </c>
      <c r="AB51">
        <v>0</v>
      </c>
      <c r="AD51">
        <v>0</v>
      </c>
      <c r="AE51">
        <v>0</v>
      </c>
      <c r="AF51">
        <v>0</v>
      </c>
      <c r="AG51">
        <v>0</v>
      </c>
    </row>
    <row r="52" spans="1:33">
      <c r="A52" s="1">
        <f>HYPERLINK("https://lsnyc.legalserver.org/matter/dynamic-profile/view/1876194","18-1876194")</f>
        <v>0</v>
      </c>
      <c r="B52" t="s">
        <v>36</v>
      </c>
      <c r="C52" t="s">
        <v>58</v>
      </c>
      <c r="D52" t="s">
        <v>121</v>
      </c>
      <c r="E52" t="s">
        <v>650</v>
      </c>
      <c r="F52">
        <v>3020</v>
      </c>
      <c r="G52" t="s">
        <v>1185</v>
      </c>
      <c r="I52" t="s">
        <v>1298</v>
      </c>
      <c r="J52">
        <v>3</v>
      </c>
      <c r="K52">
        <v>0</v>
      </c>
      <c r="L52">
        <v>0</v>
      </c>
      <c r="M52" t="s">
        <v>1302</v>
      </c>
      <c r="N52">
        <v>83200</v>
      </c>
      <c r="O52">
        <v>10458</v>
      </c>
      <c r="P52" t="s">
        <v>1310</v>
      </c>
      <c r="Q52" t="s">
        <v>1320</v>
      </c>
      <c r="S52" t="s">
        <v>1338</v>
      </c>
      <c r="W52" t="s">
        <v>1365</v>
      </c>
      <c r="AA52">
        <v>0</v>
      </c>
      <c r="AB52">
        <v>0</v>
      </c>
      <c r="AD52">
        <v>0</v>
      </c>
      <c r="AE52">
        <v>0</v>
      </c>
      <c r="AF52">
        <v>0</v>
      </c>
      <c r="AG52">
        <v>0</v>
      </c>
    </row>
    <row r="53" spans="1:33">
      <c r="A53" s="1">
        <f>HYPERLINK("https://lsnyc.legalserver.org/matter/dynamic-profile/view/1880228","18-1880228")</f>
        <v>0</v>
      </c>
      <c r="B53" t="s">
        <v>36</v>
      </c>
      <c r="C53" t="s">
        <v>62</v>
      </c>
      <c r="D53" t="s">
        <v>122</v>
      </c>
      <c r="E53" t="s">
        <v>651</v>
      </c>
      <c r="F53">
        <v>5440</v>
      </c>
      <c r="G53" t="s">
        <v>1209</v>
      </c>
      <c r="I53" t="s">
        <v>1298</v>
      </c>
      <c r="J53">
        <v>1</v>
      </c>
      <c r="K53">
        <v>0</v>
      </c>
      <c r="L53">
        <v>1</v>
      </c>
      <c r="M53" t="s">
        <v>1302</v>
      </c>
      <c r="N53">
        <v>40320</v>
      </c>
      <c r="O53">
        <v>10472</v>
      </c>
      <c r="P53" t="s">
        <v>1310</v>
      </c>
      <c r="Q53" t="s">
        <v>1321</v>
      </c>
      <c r="S53" t="s">
        <v>1332</v>
      </c>
      <c r="T53" t="s">
        <v>1336</v>
      </c>
      <c r="W53" t="s">
        <v>1361</v>
      </c>
      <c r="Y53" t="s">
        <v>1365</v>
      </c>
      <c r="AA53">
        <v>0</v>
      </c>
      <c r="AB53">
        <v>0</v>
      </c>
      <c r="AD53">
        <v>0</v>
      </c>
      <c r="AE53">
        <v>0</v>
      </c>
      <c r="AF53">
        <v>0</v>
      </c>
      <c r="AG53">
        <v>0</v>
      </c>
    </row>
    <row r="54" spans="1:33">
      <c r="A54" s="1">
        <f>HYPERLINK("https://lsnyc.legalserver.org/matter/dynamic-profile/view/1882588","18-1882588")</f>
        <v>0</v>
      </c>
      <c r="B54" t="s">
        <v>33</v>
      </c>
      <c r="C54" t="s">
        <v>38</v>
      </c>
      <c r="D54" t="s">
        <v>123</v>
      </c>
      <c r="E54" t="s">
        <v>652</v>
      </c>
      <c r="F54">
        <v>5437</v>
      </c>
      <c r="G54" t="s">
        <v>1204</v>
      </c>
      <c r="I54" t="s">
        <v>1298</v>
      </c>
      <c r="J54">
        <v>3</v>
      </c>
      <c r="K54">
        <v>1</v>
      </c>
      <c r="L54">
        <v>0</v>
      </c>
      <c r="M54" t="s">
        <v>1301</v>
      </c>
      <c r="N54">
        <v>96000</v>
      </c>
      <c r="O54">
        <v>10303</v>
      </c>
      <c r="P54" t="s">
        <v>1307</v>
      </c>
      <c r="Q54" t="s">
        <v>1319</v>
      </c>
      <c r="S54" t="s">
        <v>1333</v>
      </c>
      <c r="T54" t="s">
        <v>1334</v>
      </c>
      <c r="AA54">
        <v>0</v>
      </c>
      <c r="AB54">
        <v>0</v>
      </c>
      <c r="AD54">
        <v>0</v>
      </c>
      <c r="AE54">
        <v>0</v>
      </c>
      <c r="AF54">
        <v>0</v>
      </c>
      <c r="AG54">
        <v>0</v>
      </c>
    </row>
    <row r="55" spans="1:33">
      <c r="A55" s="1">
        <f>HYPERLINK("https://lsnyc.legalserver.org/matter/dynamic-profile/view/1886990","19-1886990")</f>
        <v>0</v>
      </c>
      <c r="B55" t="s">
        <v>33</v>
      </c>
      <c r="C55" t="s">
        <v>63</v>
      </c>
      <c r="D55" t="s">
        <v>124</v>
      </c>
      <c r="E55" t="s">
        <v>653</v>
      </c>
      <c r="F55">
        <v>5437</v>
      </c>
      <c r="I55" t="s">
        <v>1298</v>
      </c>
      <c r="J55">
        <v>1</v>
      </c>
      <c r="K55">
        <v>0</v>
      </c>
      <c r="L55">
        <v>0</v>
      </c>
      <c r="N55">
        <v>52000</v>
      </c>
      <c r="O55">
        <v>10304</v>
      </c>
      <c r="P55" t="s">
        <v>1307</v>
      </c>
      <c r="Q55" t="s">
        <v>1326</v>
      </c>
      <c r="S55" t="s">
        <v>1338</v>
      </c>
      <c r="AA55">
        <v>0</v>
      </c>
      <c r="AB55">
        <v>0</v>
      </c>
      <c r="AD55">
        <v>0</v>
      </c>
      <c r="AE55">
        <v>0</v>
      </c>
      <c r="AF55">
        <v>0</v>
      </c>
      <c r="AG55">
        <v>0</v>
      </c>
    </row>
    <row r="56" spans="1:33">
      <c r="A56" s="1">
        <f>HYPERLINK("https://lsnyc.legalserver.org/matter/dynamic-profile/view/1887767","19-1887767")</f>
        <v>0</v>
      </c>
      <c r="B56" t="s">
        <v>35</v>
      </c>
      <c r="C56" t="s">
        <v>40</v>
      </c>
      <c r="D56" t="s">
        <v>125</v>
      </c>
      <c r="E56" t="s">
        <v>147</v>
      </c>
      <c r="F56">
        <v>5553</v>
      </c>
      <c r="G56" t="s">
        <v>1210</v>
      </c>
      <c r="I56" t="s">
        <v>1298</v>
      </c>
      <c r="J56">
        <v>3</v>
      </c>
      <c r="K56">
        <v>0</v>
      </c>
      <c r="L56">
        <v>2</v>
      </c>
      <c r="M56" t="s">
        <v>1304</v>
      </c>
      <c r="N56">
        <v>85872</v>
      </c>
      <c r="O56">
        <v>11207</v>
      </c>
      <c r="P56" t="s">
        <v>1309</v>
      </c>
      <c r="Q56" t="s">
        <v>1315</v>
      </c>
      <c r="S56" t="s">
        <v>1333</v>
      </c>
      <c r="T56" t="s">
        <v>1336</v>
      </c>
      <c r="U56" t="s">
        <v>1352</v>
      </c>
      <c r="W56" t="s">
        <v>1365</v>
      </c>
      <c r="Y56" t="s">
        <v>1366</v>
      </c>
      <c r="AA56">
        <v>0</v>
      </c>
      <c r="AB56">
        <v>0</v>
      </c>
      <c r="AD56">
        <v>0</v>
      </c>
      <c r="AE56">
        <v>0</v>
      </c>
      <c r="AF56">
        <v>0</v>
      </c>
      <c r="AG56">
        <v>0</v>
      </c>
    </row>
    <row r="57" spans="1:33">
      <c r="A57" s="1">
        <f>HYPERLINK("https://lsnyc.legalserver.org/matter/dynamic-profile/view/1887290","19-1887290")</f>
        <v>0</v>
      </c>
      <c r="B57" t="s">
        <v>33</v>
      </c>
      <c r="C57" t="s">
        <v>56</v>
      </c>
      <c r="D57" t="s">
        <v>126</v>
      </c>
      <c r="E57" t="s">
        <v>654</v>
      </c>
      <c r="F57">
        <v>5437</v>
      </c>
      <c r="G57" t="s">
        <v>1181</v>
      </c>
      <c r="I57" t="s">
        <v>1298</v>
      </c>
      <c r="J57">
        <v>2</v>
      </c>
      <c r="K57">
        <v>2</v>
      </c>
      <c r="L57">
        <v>0</v>
      </c>
      <c r="M57" t="s">
        <v>1301</v>
      </c>
      <c r="N57">
        <v>89000</v>
      </c>
      <c r="O57">
        <v>10302</v>
      </c>
      <c r="P57" t="s">
        <v>1307</v>
      </c>
      <c r="Q57" t="s">
        <v>1319</v>
      </c>
      <c r="S57" t="s">
        <v>1334</v>
      </c>
      <c r="T57" t="s">
        <v>1336</v>
      </c>
      <c r="W57" t="s">
        <v>1373</v>
      </c>
      <c r="AA57">
        <v>0</v>
      </c>
      <c r="AB57">
        <v>0</v>
      </c>
      <c r="AD57">
        <v>0</v>
      </c>
      <c r="AE57">
        <v>0</v>
      </c>
      <c r="AF57">
        <v>0</v>
      </c>
      <c r="AG57">
        <v>0</v>
      </c>
    </row>
    <row r="58" spans="1:33">
      <c r="A58" s="1">
        <f>HYPERLINK("https://lsnyc.legalserver.org/matter/dynamic-profile/view/1887870","19-1887870")</f>
        <v>0</v>
      </c>
      <c r="B58" t="s">
        <v>33</v>
      </c>
      <c r="C58" t="s">
        <v>56</v>
      </c>
      <c r="D58" t="s">
        <v>127</v>
      </c>
      <c r="E58" t="s">
        <v>655</v>
      </c>
      <c r="F58">
        <v>5437</v>
      </c>
      <c r="G58" t="s">
        <v>1211</v>
      </c>
      <c r="I58" t="s">
        <v>1298</v>
      </c>
      <c r="J58">
        <v>3</v>
      </c>
      <c r="K58">
        <v>4</v>
      </c>
      <c r="L58">
        <v>1</v>
      </c>
      <c r="M58" t="s">
        <v>1302</v>
      </c>
      <c r="N58">
        <v>55000</v>
      </c>
      <c r="O58">
        <v>10314</v>
      </c>
      <c r="P58" t="s">
        <v>1307</v>
      </c>
      <c r="Q58" t="s">
        <v>1314</v>
      </c>
      <c r="R58" t="s">
        <v>1315</v>
      </c>
      <c r="S58" t="s">
        <v>1334</v>
      </c>
      <c r="AA58">
        <v>0</v>
      </c>
      <c r="AB58">
        <v>0</v>
      </c>
      <c r="AD58">
        <v>0</v>
      </c>
      <c r="AE58">
        <v>0</v>
      </c>
      <c r="AF58">
        <v>0</v>
      </c>
      <c r="AG58">
        <v>0</v>
      </c>
    </row>
    <row r="59" spans="1:33">
      <c r="A59" s="1">
        <f>HYPERLINK("https://lsnyc.legalserver.org/matter/dynamic-profile/view/1891706","19-1891706")</f>
        <v>0</v>
      </c>
      <c r="B59" t="s">
        <v>34</v>
      </c>
      <c r="C59" t="s">
        <v>42</v>
      </c>
      <c r="D59" t="s">
        <v>128</v>
      </c>
      <c r="E59" t="s">
        <v>629</v>
      </c>
      <c r="F59">
        <v>5442</v>
      </c>
      <c r="G59" t="s">
        <v>1208</v>
      </c>
      <c r="I59" t="s">
        <v>1298</v>
      </c>
      <c r="J59">
        <v>5</v>
      </c>
      <c r="K59">
        <v>0</v>
      </c>
      <c r="L59">
        <v>0</v>
      </c>
      <c r="M59" t="s">
        <v>1301</v>
      </c>
      <c r="N59">
        <v>80744</v>
      </c>
      <c r="O59">
        <v>11429</v>
      </c>
      <c r="P59" t="s">
        <v>1308</v>
      </c>
      <c r="Q59" t="s">
        <v>1314</v>
      </c>
      <c r="R59" t="s">
        <v>1315</v>
      </c>
      <c r="S59" t="s">
        <v>1333</v>
      </c>
      <c r="U59" t="s">
        <v>1355</v>
      </c>
      <c r="AA59">
        <v>0</v>
      </c>
      <c r="AB59">
        <v>0</v>
      </c>
      <c r="AD59">
        <v>0</v>
      </c>
      <c r="AE59">
        <v>0</v>
      </c>
      <c r="AF59">
        <v>0</v>
      </c>
      <c r="AG59">
        <v>0</v>
      </c>
    </row>
    <row r="60" spans="1:33">
      <c r="A60" s="1">
        <f>HYPERLINK("https://lsnyc.legalserver.org/matter/dynamic-profile/view/1892471","19-1892471")</f>
        <v>0</v>
      </c>
      <c r="B60" t="s">
        <v>34</v>
      </c>
      <c r="C60" t="s">
        <v>57</v>
      </c>
      <c r="D60" t="s">
        <v>129</v>
      </c>
      <c r="E60" t="s">
        <v>656</v>
      </c>
      <c r="F60">
        <v>5442</v>
      </c>
      <c r="G60" t="s">
        <v>1212</v>
      </c>
      <c r="I60" t="s">
        <v>1298</v>
      </c>
      <c r="J60">
        <v>1</v>
      </c>
      <c r="K60">
        <v>0</v>
      </c>
      <c r="L60">
        <v>1</v>
      </c>
      <c r="M60" t="s">
        <v>1301</v>
      </c>
      <c r="N60">
        <v>15000</v>
      </c>
      <c r="O60">
        <v>11412</v>
      </c>
      <c r="P60" t="s">
        <v>1308</v>
      </c>
      <c r="Q60" t="s">
        <v>1324</v>
      </c>
      <c r="R60" t="s">
        <v>1314</v>
      </c>
      <c r="S60" t="s">
        <v>1332</v>
      </c>
      <c r="T60" t="s">
        <v>1333</v>
      </c>
      <c r="AA60">
        <v>0</v>
      </c>
      <c r="AB60">
        <v>0</v>
      </c>
      <c r="AD60">
        <v>0</v>
      </c>
      <c r="AE60">
        <v>0</v>
      </c>
      <c r="AF60">
        <v>0</v>
      </c>
      <c r="AG60">
        <v>0</v>
      </c>
    </row>
    <row r="61" spans="1:33">
      <c r="A61" s="1">
        <f>HYPERLINK("https://lsnyc.legalserver.org/matter/dynamic-profile/view/1895634","19-1895634")</f>
        <v>0</v>
      </c>
      <c r="B61" t="s">
        <v>34</v>
      </c>
      <c r="C61" t="s">
        <v>39</v>
      </c>
      <c r="D61" t="s">
        <v>130</v>
      </c>
      <c r="E61" t="s">
        <v>657</v>
      </c>
      <c r="F61">
        <v>5442</v>
      </c>
      <c r="I61" t="s">
        <v>1298</v>
      </c>
      <c r="J61">
        <v>1</v>
      </c>
      <c r="K61">
        <v>0</v>
      </c>
      <c r="L61">
        <v>1</v>
      </c>
      <c r="M61" t="s">
        <v>1301</v>
      </c>
      <c r="N61">
        <v>52000</v>
      </c>
      <c r="O61">
        <v>11434</v>
      </c>
      <c r="P61" t="s">
        <v>1308</v>
      </c>
      <c r="Q61" t="s">
        <v>1325</v>
      </c>
      <c r="S61" t="s">
        <v>1332</v>
      </c>
      <c r="T61" t="s">
        <v>1340</v>
      </c>
      <c r="W61" t="s">
        <v>1366</v>
      </c>
      <c r="AA61">
        <v>0</v>
      </c>
      <c r="AB61">
        <v>0</v>
      </c>
      <c r="AD61">
        <v>0</v>
      </c>
      <c r="AE61">
        <v>0</v>
      </c>
      <c r="AF61">
        <v>0</v>
      </c>
      <c r="AG61">
        <v>0</v>
      </c>
    </row>
    <row r="62" spans="1:33">
      <c r="A62" s="1">
        <f>HYPERLINK("https://lsnyc.legalserver.org/matter/dynamic-profile/view/1896554","19-1896554")</f>
        <v>0</v>
      </c>
      <c r="B62" t="s">
        <v>35</v>
      </c>
      <c r="C62" t="s">
        <v>61</v>
      </c>
      <c r="D62" t="s">
        <v>131</v>
      </c>
      <c r="E62" t="s">
        <v>658</v>
      </c>
      <c r="F62">
        <v>5553</v>
      </c>
      <c r="G62" t="s">
        <v>1212</v>
      </c>
      <c r="I62" t="s">
        <v>1298</v>
      </c>
      <c r="J62">
        <v>1</v>
      </c>
      <c r="K62">
        <v>0</v>
      </c>
      <c r="L62">
        <v>1</v>
      </c>
      <c r="M62" t="s">
        <v>1302</v>
      </c>
      <c r="N62">
        <v>14400</v>
      </c>
      <c r="O62">
        <v>11221</v>
      </c>
      <c r="P62" t="s">
        <v>1309</v>
      </c>
      <c r="Q62" t="s">
        <v>1324</v>
      </c>
      <c r="S62" t="s">
        <v>1333</v>
      </c>
      <c r="T62" t="s">
        <v>1332</v>
      </c>
      <c r="W62" t="s">
        <v>1361</v>
      </c>
      <c r="AA62">
        <v>0</v>
      </c>
      <c r="AB62">
        <v>0</v>
      </c>
      <c r="AD62">
        <v>0</v>
      </c>
      <c r="AE62">
        <v>0</v>
      </c>
      <c r="AF62">
        <v>0</v>
      </c>
      <c r="AG62">
        <v>0</v>
      </c>
    </row>
    <row r="63" spans="1:33">
      <c r="A63" s="1">
        <f>HYPERLINK("https://lsnyc.legalserver.org/matter/dynamic-profile/view/1897610","19-1897610")</f>
        <v>0</v>
      </c>
      <c r="B63" t="s">
        <v>34</v>
      </c>
      <c r="C63" t="s">
        <v>49</v>
      </c>
      <c r="D63" t="s">
        <v>132</v>
      </c>
      <c r="E63" t="s">
        <v>659</v>
      </c>
      <c r="F63">
        <v>5442</v>
      </c>
      <c r="I63" t="s">
        <v>1298</v>
      </c>
      <c r="J63">
        <v>1</v>
      </c>
      <c r="K63">
        <v>0</v>
      </c>
      <c r="L63">
        <v>0</v>
      </c>
      <c r="N63">
        <v>22668</v>
      </c>
      <c r="O63">
        <v>11412</v>
      </c>
      <c r="P63" t="s">
        <v>1308</v>
      </c>
      <c r="AA63">
        <v>0</v>
      </c>
      <c r="AB63">
        <v>0</v>
      </c>
      <c r="AD63">
        <v>0</v>
      </c>
      <c r="AE63">
        <v>0</v>
      </c>
      <c r="AF63">
        <v>0</v>
      </c>
      <c r="AG63">
        <v>0</v>
      </c>
    </row>
    <row r="64" spans="1:33">
      <c r="A64" s="1">
        <f>HYPERLINK("https://lsnyc.legalserver.org/matter/dynamic-profile/view/1898831","19-1898831")</f>
        <v>0</v>
      </c>
      <c r="B64" t="s">
        <v>34</v>
      </c>
      <c r="C64" t="s">
        <v>64</v>
      </c>
      <c r="D64" t="s">
        <v>133</v>
      </c>
      <c r="E64" t="s">
        <v>660</v>
      </c>
      <c r="F64">
        <v>5442</v>
      </c>
      <c r="I64" t="s">
        <v>1298</v>
      </c>
      <c r="J64">
        <v>5</v>
      </c>
      <c r="K64">
        <v>0</v>
      </c>
      <c r="L64">
        <v>0</v>
      </c>
      <c r="M64" t="s">
        <v>1301</v>
      </c>
      <c r="N64">
        <v>13000</v>
      </c>
      <c r="O64">
        <v>11434</v>
      </c>
      <c r="P64" t="s">
        <v>1308</v>
      </c>
      <c r="Q64" t="s">
        <v>1319</v>
      </c>
      <c r="S64" t="s">
        <v>1337</v>
      </c>
      <c r="AA64">
        <v>0</v>
      </c>
      <c r="AB64">
        <v>0</v>
      </c>
      <c r="AD64">
        <v>0</v>
      </c>
      <c r="AE64">
        <v>0</v>
      </c>
      <c r="AF64">
        <v>0</v>
      </c>
      <c r="AG64">
        <v>0</v>
      </c>
    </row>
    <row r="65" spans="1:33">
      <c r="A65" s="1">
        <f>HYPERLINK("https://lsnyc.legalserver.org/matter/dynamic-profile/view/1901763","19-1901763")</f>
        <v>0</v>
      </c>
      <c r="B65" t="s">
        <v>35</v>
      </c>
      <c r="C65" t="s">
        <v>61</v>
      </c>
      <c r="D65" t="s">
        <v>134</v>
      </c>
      <c r="E65" t="s">
        <v>661</v>
      </c>
      <c r="F65">
        <v>5553</v>
      </c>
      <c r="G65" t="s">
        <v>1188</v>
      </c>
      <c r="I65" t="s">
        <v>1298</v>
      </c>
      <c r="J65">
        <v>1</v>
      </c>
      <c r="K65">
        <v>0</v>
      </c>
      <c r="L65">
        <v>0</v>
      </c>
      <c r="M65" t="s">
        <v>1302</v>
      </c>
      <c r="N65">
        <v>35520</v>
      </c>
      <c r="O65">
        <v>11236</v>
      </c>
      <c r="P65" t="s">
        <v>1309</v>
      </c>
      <c r="Q65" t="s">
        <v>1321</v>
      </c>
      <c r="S65" t="s">
        <v>1332</v>
      </c>
      <c r="T65" t="s">
        <v>1333</v>
      </c>
      <c r="W65" t="s">
        <v>1361</v>
      </c>
      <c r="AA65">
        <v>0</v>
      </c>
      <c r="AB65">
        <v>0</v>
      </c>
      <c r="AD65">
        <v>0</v>
      </c>
      <c r="AE65">
        <v>0</v>
      </c>
      <c r="AF65">
        <v>0</v>
      </c>
      <c r="AG65">
        <v>0</v>
      </c>
    </row>
    <row r="66" spans="1:33">
      <c r="A66" s="1">
        <f>HYPERLINK("https://lsnyc.legalserver.org/matter/dynamic-profile/view/1916503","19-1916503")</f>
        <v>0</v>
      </c>
      <c r="B66" t="s">
        <v>36</v>
      </c>
      <c r="C66" t="s">
        <v>46</v>
      </c>
      <c r="D66" t="s">
        <v>135</v>
      </c>
      <c r="E66" t="s">
        <v>662</v>
      </c>
      <c r="F66">
        <v>5440</v>
      </c>
      <c r="G66" t="s">
        <v>1210</v>
      </c>
      <c r="I66" t="s">
        <v>1298</v>
      </c>
      <c r="J66">
        <v>1</v>
      </c>
      <c r="K66">
        <v>0</v>
      </c>
      <c r="L66">
        <v>1</v>
      </c>
      <c r="M66" t="s">
        <v>1302</v>
      </c>
      <c r="N66">
        <v>23436</v>
      </c>
      <c r="O66">
        <v>10453</v>
      </c>
      <c r="P66" t="s">
        <v>1310</v>
      </c>
      <c r="Q66" t="s">
        <v>1319</v>
      </c>
      <c r="R66" t="s">
        <v>1321</v>
      </c>
      <c r="S66" t="s">
        <v>1337</v>
      </c>
      <c r="W66" t="s">
        <v>1366</v>
      </c>
      <c r="AA66">
        <v>0</v>
      </c>
      <c r="AB66">
        <v>0</v>
      </c>
      <c r="AD66">
        <v>0</v>
      </c>
      <c r="AE66">
        <v>0</v>
      </c>
      <c r="AF66">
        <v>0</v>
      </c>
      <c r="AG66">
        <v>0</v>
      </c>
    </row>
    <row r="67" spans="1:33">
      <c r="A67" s="1">
        <f>HYPERLINK("https://lsnyc.legalserver.org/matter/dynamic-profile/view/1917105","19-1917105")</f>
        <v>0</v>
      </c>
      <c r="B67" t="s">
        <v>36</v>
      </c>
      <c r="C67" t="s">
        <v>46</v>
      </c>
      <c r="D67" t="s">
        <v>136</v>
      </c>
      <c r="E67" t="s">
        <v>663</v>
      </c>
      <c r="F67">
        <v>5440</v>
      </c>
      <c r="G67" t="s">
        <v>1185</v>
      </c>
      <c r="I67" t="s">
        <v>1298</v>
      </c>
      <c r="J67">
        <v>4</v>
      </c>
      <c r="K67">
        <v>0</v>
      </c>
      <c r="L67">
        <v>0</v>
      </c>
      <c r="M67" t="s">
        <v>1302</v>
      </c>
      <c r="N67">
        <v>69298.03999999999</v>
      </c>
      <c r="O67">
        <v>10469</v>
      </c>
      <c r="P67" t="s">
        <v>1310</v>
      </c>
      <c r="Q67" t="s">
        <v>1321</v>
      </c>
      <c r="S67" t="s">
        <v>1337</v>
      </c>
      <c r="W67" t="s">
        <v>1366</v>
      </c>
      <c r="AA67">
        <v>0</v>
      </c>
      <c r="AB67">
        <v>0</v>
      </c>
      <c r="AD67">
        <v>0</v>
      </c>
      <c r="AE67">
        <v>0</v>
      </c>
      <c r="AF67">
        <v>0</v>
      </c>
      <c r="AG67">
        <v>0</v>
      </c>
    </row>
    <row r="68" spans="1:33">
      <c r="A68" s="1">
        <f>HYPERLINK("https://lsnyc.legalserver.org/matter/dynamic-profile/view/1853027","17-1853027")</f>
        <v>0</v>
      </c>
      <c r="B68" t="s">
        <v>36</v>
      </c>
      <c r="C68" t="s">
        <v>59</v>
      </c>
      <c r="D68" t="s">
        <v>137</v>
      </c>
      <c r="E68" t="s">
        <v>664</v>
      </c>
      <c r="F68">
        <v>5440</v>
      </c>
      <c r="G68" t="s">
        <v>1213</v>
      </c>
      <c r="I68" t="s">
        <v>1299</v>
      </c>
      <c r="J68">
        <v>3</v>
      </c>
      <c r="K68">
        <v>2</v>
      </c>
      <c r="L68">
        <v>2</v>
      </c>
      <c r="M68" t="s">
        <v>1301</v>
      </c>
      <c r="N68">
        <v>65162.72</v>
      </c>
      <c r="O68">
        <v>10460</v>
      </c>
      <c r="P68" t="s">
        <v>1310</v>
      </c>
      <c r="Q68" t="s">
        <v>1314</v>
      </c>
      <c r="R68" t="s">
        <v>1315</v>
      </c>
      <c r="S68" t="s">
        <v>1334</v>
      </c>
      <c r="T68" t="s">
        <v>1340</v>
      </c>
      <c r="U68" t="s">
        <v>1353</v>
      </c>
      <c r="W68" t="s">
        <v>1374</v>
      </c>
      <c r="Y68" t="s">
        <v>1365</v>
      </c>
      <c r="AA68">
        <v>2070.87</v>
      </c>
      <c r="AB68">
        <v>0</v>
      </c>
      <c r="AD68">
        <v>0</v>
      </c>
      <c r="AE68">
        <v>0</v>
      </c>
      <c r="AF68">
        <v>0</v>
      </c>
      <c r="AG68">
        <v>0</v>
      </c>
    </row>
    <row r="69" spans="1:33">
      <c r="A69" s="1">
        <f>HYPERLINK("https://lsnyc.legalserver.org/matter/dynamic-profile/view/1874029","18-1874029")</f>
        <v>0</v>
      </c>
      <c r="B69" t="s">
        <v>36</v>
      </c>
      <c r="C69" t="s">
        <v>62</v>
      </c>
      <c r="D69" t="s">
        <v>138</v>
      </c>
      <c r="E69" t="s">
        <v>665</v>
      </c>
      <c r="F69">
        <v>5440</v>
      </c>
      <c r="G69" t="s">
        <v>1205</v>
      </c>
      <c r="I69" t="s">
        <v>1299</v>
      </c>
      <c r="J69">
        <v>6</v>
      </c>
      <c r="K69">
        <v>0</v>
      </c>
      <c r="L69">
        <v>4</v>
      </c>
      <c r="M69" t="s">
        <v>1302</v>
      </c>
      <c r="N69">
        <v>56795.28</v>
      </c>
      <c r="O69">
        <v>10472</v>
      </c>
      <c r="P69" t="s">
        <v>1310</v>
      </c>
      <c r="Q69" t="s">
        <v>1314</v>
      </c>
      <c r="S69" t="s">
        <v>1337</v>
      </c>
      <c r="W69" t="s">
        <v>1366</v>
      </c>
      <c r="AA69">
        <v>0</v>
      </c>
      <c r="AB69">
        <v>0</v>
      </c>
      <c r="AD69">
        <v>0</v>
      </c>
      <c r="AE69">
        <v>0</v>
      </c>
      <c r="AF69">
        <v>0</v>
      </c>
      <c r="AG69">
        <v>0</v>
      </c>
    </row>
    <row r="70" spans="1:33">
      <c r="A70" s="1">
        <f>HYPERLINK("https://lsnyc.legalserver.org/matter/dynamic-profile/view/1898110","19-1898110")</f>
        <v>0</v>
      </c>
      <c r="B70" t="s">
        <v>36</v>
      </c>
      <c r="C70" t="s">
        <v>46</v>
      </c>
      <c r="D70" t="s">
        <v>139</v>
      </c>
      <c r="E70" t="s">
        <v>666</v>
      </c>
      <c r="F70">
        <v>5440</v>
      </c>
      <c r="G70" t="s">
        <v>1209</v>
      </c>
      <c r="I70" t="s">
        <v>1299</v>
      </c>
      <c r="J70">
        <v>2</v>
      </c>
      <c r="K70">
        <v>0</v>
      </c>
      <c r="L70">
        <v>0</v>
      </c>
      <c r="M70" t="s">
        <v>1302</v>
      </c>
      <c r="N70">
        <v>53868</v>
      </c>
      <c r="O70">
        <v>10462</v>
      </c>
      <c r="P70" t="s">
        <v>1310</v>
      </c>
      <c r="Q70" t="s">
        <v>1314</v>
      </c>
      <c r="S70" t="s">
        <v>1336</v>
      </c>
      <c r="W70" t="s">
        <v>1366</v>
      </c>
      <c r="AA70">
        <v>0</v>
      </c>
      <c r="AB70">
        <v>0</v>
      </c>
      <c r="AD70">
        <v>0</v>
      </c>
      <c r="AE70">
        <v>0</v>
      </c>
      <c r="AF70">
        <v>0</v>
      </c>
      <c r="AG70">
        <v>0</v>
      </c>
    </row>
    <row r="71" spans="1:33">
      <c r="A71" s="1">
        <f>HYPERLINK("https://lsnyc.legalserver.org/matter/dynamic-profile/view/1899660","19-1899660")</f>
        <v>0</v>
      </c>
      <c r="B71" t="s">
        <v>34</v>
      </c>
      <c r="C71" t="s">
        <v>42</v>
      </c>
      <c r="D71" t="s">
        <v>140</v>
      </c>
      <c r="E71" t="s">
        <v>667</v>
      </c>
      <c r="F71">
        <v>5442</v>
      </c>
      <c r="I71" t="s">
        <v>1299</v>
      </c>
      <c r="J71">
        <v>1</v>
      </c>
      <c r="K71">
        <v>0</v>
      </c>
      <c r="L71">
        <v>0</v>
      </c>
      <c r="M71" t="s">
        <v>1301</v>
      </c>
      <c r="N71">
        <v>18000</v>
      </c>
      <c r="O71">
        <v>11423</v>
      </c>
      <c r="P71" t="s">
        <v>1308</v>
      </c>
      <c r="Q71" t="s">
        <v>1324</v>
      </c>
      <c r="S71" t="s">
        <v>1341</v>
      </c>
      <c r="T71" t="s">
        <v>1351</v>
      </c>
      <c r="W71" t="s">
        <v>1368</v>
      </c>
      <c r="AA71">
        <v>0</v>
      </c>
      <c r="AB71">
        <v>0</v>
      </c>
      <c r="AC71">
        <v>32047.49</v>
      </c>
      <c r="AD71">
        <v>0</v>
      </c>
      <c r="AE71">
        <v>0</v>
      </c>
      <c r="AF71">
        <v>0</v>
      </c>
      <c r="AG71">
        <v>0</v>
      </c>
    </row>
    <row r="72" spans="1:33">
      <c r="A72" s="1">
        <f>HYPERLINK("https://lsnyc.legalserver.org/matter/dynamic-profile/view/1866055","18-1866055")</f>
        <v>0</v>
      </c>
      <c r="B72" t="s">
        <v>33</v>
      </c>
      <c r="C72" t="s">
        <v>53</v>
      </c>
      <c r="D72" t="s">
        <v>141</v>
      </c>
      <c r="E72" t="s">
        <v>668</v>
      </c>
      <c r="F72">
        <v>5437</v>
      </c>
      <c r="G72" t="s">
        <v>1214</v>
      </c>
      <c r="I72" t="s">
        <v>1299</v>
      </c>
      <c r="J72">
        <v>1</v>
      </c>
      <c r="K72">
        <v>0</v>
      </c>
      <c r="L72">
        <v>0</v>
      </c>
      <c r="N72">
        <v>36400</v>
      </c>
      <c r="O72">
        <v>10303</v>
      </c>
      <c r="P72" t="s">
        <v>1307</v>
      </c>
      <c r="Q72" t="s">
        <v>1325</v>
      </c>
      <c r="S72" t="s">
        <v>1332</v>
      </c>
      <c r="W72" t="s">
        <v>1366</v>
      </c>
      <c r="AA72">
        <v>0</v>
      </c>
      <c r="AB72">
        <v>0</v>
      </c>
      <c r="AD72">
        <v>0</v>
      </c>
      <c r="AE72">
        <v>0</v>
      </c>
      <c r="AF72">
        <v>0</v>
      </c>
      <c r="AG72">
        <v>0</v>
      </c>
    </row>
    <row r="73" spans="1:33">
      <c r="A73" s="1">
        <f>HYPERLINK("https://lsnyc.legalserver.org/matter/dynamic-profile/view/1869122","18-1869122")</f>
        <v>0</v>
      </c>
      <c r="B73" t="s">
        <v>33</v>
      </c>
      <c r="C73" t="s">
        <v>63</v>
      </c>
      <c r="D73" t="s">
        <v>142</v>
      </c>
      <c r="E73" t="s">
        <v>669</v>
      </c>
      <c r="F73">
        <v>5437</v>
      </c>
      <c r="G73" t="s">
        <v>1206</v>
      </c>
      <c r="I73" t="s">
        <v>1299</v>
      </c>
      <c r="J73">
        <v>3</v>
      </c>
      <c r="K73">
        <v>0</v>
      </c>
      <c r="L73">
        <v>0</v>
      </c>
      <c r="N73">
        <v>46200</v>
      </c>
      <c r="O73">
        <v>10314</v>
      </c>
      <c r="P73" t="s">
        <v>1307</v>
      </c>
      <c r="Q73" t="s">
        <v>1315</v>
      </c>
      <c r="S73" t="s">
        <v>1332</v>
      </c>
      <c r="T73" t="s">
        <v>1344</v>
      </c>
      <c r="W73" t="s">
        <v>1361</v>
      </c>
      <c r="Y73" t="s">
        <v>1366</v>
      </c>
      <c r="AA73">
        <v>0</v>
      </c>
      <c r="AB73">
        <v>0</v>
      </c>
      <c r="AD73">
        <v>0</v>
      </c>
      <c r="AE73">
        <v>0</v>
      </c>
      <c r="AF73">
        <v>0</v>
      </c>
      <c r="AG73">
        <v>0</v>
      </c>
    </row>
    <row r="74" spans="1:33">
      <c r="A74" s="1">
        <f>HYPERLINK("https://lsnyc.legalserver.org/matter/dynamic-profile/view/1879614","18-1879614")</f>
        <v>0</v>
      </c>
      <c r="B74" t="s">
        <v>33</v>
      </c>
      <c r="C74" t="s">
        <v>63</v>
      </c>
      <c r="D74" t="s">
        <v>143</v>
      </c>
      <c r="E74" t="s">
        <v>670</v>
      </c>
      <c r="F74">
        <v>5437</v>
      </c>
      <c r="G74" t="s">
        <v>1215</v>
      </c>
      <c r="I74" t="s">
        <v>1299</v>
      </c>
      <c r="J74">
        <v>4</v>
      </c>
      <c r="K74">
        <v>0</v>
      </c>
      <c r="L74">
        <v>0</v>
      </c>
      <c r="N74">
        <v>78000</v>
      </c>
      <c r="O74">
        <v>10306</v>
      </c>
      <c r="P74" t="s">
        <v>1307</v>
      </c>
      <c r="Q74" t="s">
        <v>1315</v>
      </c>
      <c r="S74" t="s">
        <v>1334</v>
      </c>
      <c r="T74" t="s">
        <v>1336</v>
      </c>
      <c r="U74" t="s">
        <v>1356</v>
      </c>
      <c r="W74" t="s">
        <v>1366</v>
      </c>
      <c r="AA74">
        <v>0</v>
      </c>
      <c r="AB74">
        <v>0</v>
      </c>
      <c r="AD74">
        <v>0</v>
      </c>
      <c r="AE74">
        <v>0</v>
      </c>
      <c r="AF74">
        <v>0</v>
      </c>
      <c r="AG74">
        <v>0</v>
      </c>
    </row>
    <row r="75" spans="1:33">
      <c r="A75" s="1">
        <f>HYPERLINK("https://lsnyc.legalserver.org/matter/dynamic-profile/view/1886851","19-1886851")</f>
        <v>0</v>
      </c>
      <c r="B75" t="s">
        <v>33</v>
      </c>
      <c r="C75" t="s">
        <v>63</v>
      </c>
      <c r="D75" t="s">
        <v>144</v>
      </c>
      <c r="E75" t="s">
        <v>671</v>
      </c>
      <c r="F75">
        <v>5437</v>
      </c>
      <c r="G75" t="s">
        <v>1187</v>
      </c>
      <c r="I75" t="s">
        <v>1299</v>
      </c>
      <c r="J75">
        <v>2</v>
      </c>
      <c r="K75">
        <v>0</v>
      </c>
      <c r="L75">
        <v>0</v>
      </c>
      <c r="N75">
        <v>33120</v>
      </c>
      <c r="O75">
        <v>10314</v>
      </c>
      <c r="P75" t="s">
        <v>1307</v>
      </c>
      <c r="Q75" t="s">
        <v>1315</v>
      </c>
      <c r="S75" t="s">
        <v>1333</v>
      </c>
      <c r="T75" t="s">
        <v>1334</v>
      </c>
      <c r="W75" t="s">
        <v>1361</v>
      </c>
      <c r="Y75" t="s">
        <v>1372</v>
      </c>
      <c r="AA75">
        <v>0</v>
      </c>
      <c r="AB75">
        <v>0</v>
      </c>
      <c r="AD75">
        <v>0</v>
      </c>
      <c r="AE75">
        <v>0</v>
      </c>
      <c r="AF75">
        <v>0</v>
      </c>
      <c r="AG75">
        <v>0</v>
      </c>
    </row>
    <row r="76" spans="1:33">
      <c r="A76" s="1">
        <f>HYPERLINK("https://lsnyc.legalserver.org/matter/dynamic-profile/view/1888871","19-1888871")</f>
        <v>0</v>
      </c>
      <c r="B76" t="s">
        <v>36</v>
      </c>
      <c r="C76" t="s">
        <v>46</v>
      </c>
      <c r="D76" t="s">
        <v>145</v>
      </c>
      <c r="E76" t="s">
        <v>672</v>
      </c>
      <c r="F76">
        <v>5440</v>
      </c>
      <c r="G76" t="s">
        <v>990</v>
      </c>
      <c r="I76" t="s">
        <v>1299</v>
      </c>
      <c r="J76">
        <v>1</v>
      </c>
      <c r="K76">
        <v>0</v>
      </c>
      <c r="L76">
        <v>0</v>
      </c>
      <c r="M76" t="s">
        <v>1301</v>
      </c>
      <c r="N76">
        <v>9252</v>
      </c>
      <c r="O76">
        <v>10469</v>
      </c>
      <c r="P76" t="s">
        <v>1310</v>
      </c>
      <c r="Q76" t="s">
        <v>1319</v>
      </c>
      <c r="S76" t="s">
        <v>1334</v>
      </c>
      <c r="T76" t="s">
        <v>1336</v>
      </c>
      <c r="W76" t="s">
        <v>1366</v>
      </c>
      <c r="AA76">
        <v>0</v>
      </c>
      <c r="AB76">
        <v>0</v>
      </c>
      <c r="AD76">
        <v>0</v>
      </c>
      <c r="AE76">
        <v>0</v>
      </c>
      <c r="AF76">
        <v>0</v>
      </c>
      <c r="AG76">
        <v>0</v>
      </c>
    </row>
    <row r="77" spans="1:33">
      <c r="A77" s="1">
        <f>HYPERLINK("https://lsnyc.legalserver.org/matter/dynamic-profile/view/0786203","15-0786203")</f>
        <v>0</v>
      </c>
      <c r="B77" t="s">
        <v>34</v>
      </c>
      <c r="C77" t="s">
        <v>49</v>
      </c>
      <c r="D77" t="s">
        <v>146</v>
      </c>
      <c r="E77" t="s">
        <v>673</v>
      </c>
      <c r="F77">
        <v>5442</v>
      </c>
      <c r="G77" t="s">
        <v>1178</v>
      </c>
      <c r="I77" t="s">
        <v>1299</v>
      </c>
      <c r="J77">
        <v>1</v>
      </c>
      <c r="K77">
        <v>0</v>
      </c>
      <c r="L77">
        <v>0</v>
      </c>
      <c r="N77">
        <v>48360</v>
      </c>
      <c r="O77">
        <v>11370</v>
      </c>
      <c r="P77" t="s">
        <v>1308</v>
      </c>
      <c r="Q77" t="s">
        <v>1314</v>
      </c>
      <c r="R77" t="s">
        <v>1315</v>
      </c>
      <c r="S77" t="s">
        <v>1339</v>
      </c>
      <c r="T77" t="s">
        <v>1338</v>
      </c>
      <c r="W77" t="s">
        <v>1368</v>
      </c>
      <c r="AA77">
        <v>0</v>
      </c>
      <c r="AB77">
        <v>0</v>
      </c>
      <c r="AD77">
        <v>0</v>
      </c>
      <c r="AE77">
        <v>0</v>
      </c>
      <c r="AF77">
        <v>0</v>
      </c>
      <c r="AG77">
        <v>0</v>
      </c>
    </row>
    <row r="78" spans="1:33">
      <c r="A78" s="1">
        <f>HYPERLINK("https://lsnyc.legalserver.org/matter/dynamic-profile/view/0789518","15-0789518")</f>
        <v>0</v>
      </c>
      <c r="B78" t="s">
        <v>35</v>
      </c>
      <c r="C78" t="s">
        <v>61</v>
      </c>
      <c r="D78" t="s">
        <v>147</v>
      </c>
      <c r="E78" t="s">
        <v>674</v>
      </c>
      <c r="F78">
        <v>5553</v>
      </c>
      <c r="G78" t="s">
        <v>1216</v>
      </c>
      <c r="I78" t="s">
        <v>1299</v>
      </c>
      <c r="J78">
        <v>1</v>
      </c>
      <c r="K78">
        <v>0</v>
      </c>
      <c r="L78">
        <v>1</v>
      </c>
      <c r="M78" t="s">
        <v>1302</v>
      </c>
      <c r="N78">
        <v>60243.12</v>
      </c>
      <c r="O78">
        <v>11203</v>
      </c>
      <c r="P78" t="s">
        <v>1309</v>
      </c>
      <c r="Q78" t="s">
        <v>1314</v>
      </c>
      <c r="R78" t="s">
        <v>1319</v>
      </c>
      <c r="S78" t="s">
        <v>1333</v>
      </c>
      <c r="T78" t="s">
        <v>1334</v>
      </c>
      <c r="W78" t="s">
        <v>1370</v>
      </c>
      <c r="Y78" t="s">
        <v>1366</v>
      </c>
      <c r="AA78">
        <v>0</v>
      </c>
      <c r="AB78">
        <v>0</v>
      </c>
      <c r="AC78" t="s">
        <v>1397</v>
      </c>
      <c r="AD78">
        <v>0</v>
      </c>
      <c r="AE78">
        <v>0</v>
      </c>
      <c r="AF78">
        <v>0</v>
      </c>
      <c r="AG78">
        <v>0</v>
      </c>
    </row>
    <row r="79" spans="1:33">
      <c r="A79" s="1">
        <f>HYPERLINK("https://lsnyc.legalserver.org/matter/dynamic-profile/view/1884386","18-1884386")</f>
        <v>0</v>
      </c>
      <c r="B79" t="s">
        <v>33</v>
      </c>
      <c r="C79" t="s">
        <v>53</v>
      </c>
      <c r="D79" t="s">
        <v>148</v>
      </c>
      <c r="E79" t="s">
        <v>675</v>
      </c>
      <c r="F79">
        <v>5437</v>
      </c>
      <c r="G79" t="s">
        <v>1206</v>
      </c>
      <c r="I79" t="s">
        <v>1299</v>
      </c>
      <c r="J79">
        <v>3</v>
      </c>
      <c r="K79">
        <v>0</v>
      </c>
      <c r="L79">
        <v>0</v>
      </c>
      <c r="N79">
        <v>46800</v>
      </c>
      <c r="O79">
        <v>10310</v>
      </c>
      <c r="P79" t="s">
        <v>1307</v>
      </c>
      <c r="Q79" t="s">
        <v>1316</v>
      </c>
      <c r="S79" t="s">
        <v>1336</v>
      </c>
      <c r="W79" t="s">
        <v>1366</v>
      </c>
      <c r="AA79">
        <v>0</v>
      </c>
      <c r="AB79">
        <v>0</v>
      </c>
      <c r="AD79">
        <v>0</v>
      </c>
      <c r="AE79">
        <v>0</v>
      </c>
      <c r="AF79">
        <v>0</v>
      </c>
      <c r="AG79">
        <v>0</v>
      </c>
    </row>
    <row r="80" spans="1:33">
      <c r="A80" s="1">
        <f>HYPERLINK("https://lsnyc.legalserver.org/matter/dynamic-profile/view/1892499","19-1892499")</f>
        <v>0</v>
      </c>
      <c r="B80" t="s">
        <v>33</v>
      </c>
      <c r="C80" t="s">
        <v>63</v>
      </c>
      <c r="D80" t="s">
        <v>149</v>
      </c>
      <c r="E80" t="s">
        <v>676</v>
      </c>
      <c r="F80">
        <v>5437</v>
      </c>
      <c r="G80" t="s">
        <v>1199</v>
      </c>
      <c r="I80" t="s">
        <v>1299</v>
      </c>
      <c r="J80">
        <v>2</v>
      </c>
      <c r="K80">
        <v>2</v>
      </c>
      <c r="L80">
        <v>0</v>
      </c>
      <c r="N80">
        <v>70000</v>
      </c>
      <c r="O80">
        <v>10310</v>
      </c>
      <c r="P80" t="s">
        <v>1307</v>
      </c>
      <c r="Q80" t="s">
        <v>1320</v>
      </c>
      <c r="S80" t="s">
        <v>1339</v>
      </c>
      <c r="T80" t="s">
        <v>1334</v>
      </c>
      <c r="W80" t="s">
        <v>1375</v>
      </c>
      <c r="AA80">
        <v>0</v>
      </c>
      <c r="AB80">
        <v>0</v>
      </c>
      <c r="AD80">
        <v>0</v>
      </c>
      <c r="AE80">
        <v>0</v>
      </c>
      <c r="AF80">
        <v>0</v>
      </c>
      <c r="AG80">
        <v>0</v>
      </c>
    </row>
    <row r="81" spans="1:33">
      <c r="A81" s="1">
        <f>HYPERLINK("https://lsnyc.legalserver.org/matter/dynamic-profile/view/1863653","18-1863653")</f>
        <v>0</v>
      </c>
      <c r="B81" t="s">
        <v>34</v>
      </c>
      <c r="C81" t="s">
        <v>49</v>
      </c>
      <c r="D81" t="s">
        <v>150</v>
      </c>
      <c r="E81" t="s">
        <v>677</v>
      </c>
      <c r="F81">
        <v>5442</v>
      </c>
      <c r="G81" t="s">
        <v>1199</v>
      </c>
      <c r="I81" t="s">
        <v>1299</v>
      </c>
      <c r="J81">
        <v>1</v>
      </c>
      <c r="K81">
        <v>3</v>
      </c>
      <c r="L81">
        <v>0</v>
      </c>
      <c r="M81" t="s">
        <v>1302</v>
      </c>
      <c r="N81">
        <v>91234</v>
      </c>
      <c r="O81">
        <v>11412</v>
      </c>
      <c r="P81" t="s">
        <v>1308</v>
      </c>
      <c r="Q81" t="s">
        <v>1325</v>
      </c>
      <c r="S81" t="s">
        <v>1333</v>
      </c>
      <c r="T81" t="s">
        <v>1340</v>
      </c>
      <c r="W81" t="s">
        <v>1370</v>
      </c>
      <c r="AA81">
        <v>0</v>
      </c>
      <c r="AB81">
        <v>0</v>
      </c>
      <c r="AC81">
        <v>73000</v>
      </c>
      <c r="AD81">
        <v>0</v>
      </c>
      <c r="AE81">
        <v>0</v>
      </c>
      <c r="AF81">
        <v>0</v>
      </c>
      <c r="AG81">
        <v>0</v>
      </c>
    </row>
    <row r="82" spans="1:33">
      <c r="A82" s="1">
        <f>HYPERLINK("https://lsnyc.legalserver.org/matter/dynamic-profile/view/0749486","14-0749486")</f>
        <v>0</v>
      </c>
      <c r="B82" t="s">
        <v>34</v>
      </c>
      <c r="C82" t="s">
        <v>42</v>
      </c>
      <c r="D82" t="s">
        <v>151</v>
      </c>
      <c r="E82" t="s">
        <v>678</v>
      </c>
      <c r="F82">
        <v>5442</v>
      </c>
      <c r="G82" t="s">
        <v>1217</v>
      </c>
      <c r="I82" t="s">
        <v>1299</v>
      </c>
      <c r="J82">
        <v>1</v>
      </c>
      <c r="K82">
        <v>2</v>
      </c>
      <c r="L82">
        <v>0</v>
      </c>
      <c r="M82" t="s">
        <v>1301</v>
      </c>
      <c r="N82">
        <v>61000</v>
      </c>
      <c r="O82">
        <v>11004</v>
      </c>
      <c r="P82" t="s">
        <v>1308</v>
      </c>
      <c r="Q82" t="s">
        <v>1314</v>
      </c>
      <c r="R82" t="s">
        <v>1315</v>
      </c>
      <c r="S82" t="s">
        <v>1338</v>
      </c>
      <c r="T82" t="s">
        <v>1340</v>
      </c>
      <c r="U82" t="s">
        <v>1352</v>
      </c>
      <c r="AA82">
        <v>1847.8</v>
      </c>
      <c r="AB82">
        <v>0</v>
      </c>
      <c r="AD82">
        <v>171524.85</v>
      </c>
      <c r="AE82">
        <v>0</v>
      </c>
      <c r="AF82">
        <v>0</v>
      </c>
      <c r="AG82">
        <v>0</v>
      </c>
    </row>
    <row r="83" spans="1:33">
      <c r="A83" s="1">
        <f>HYPERLINK("https://lsnyc.legalserver.org/matter/dynamic-profile/view/1886231","18-1886231")</f>
        <v>0</v>
      </c>
      <c r="B83" t="s">
        <v>36</v>
      </c>
      <c r="C83" t="s">
        <v>62</v>
      </c>
      <c r="D83" t="s">
        <v>152</v>
      </c>
      <c r="E83" t="s">
        <v>679</v>
      </c>
      <c r="F83">
        <v>5440</v>
      </c>
      <c r="G83" t="s">
        <v>1209</v>
      </c>
      <c r="I83" t="s">
        <v>1299</v>
      </c>
      <c r="J83">
        <v>1</v>
      </c>
      <c r="K83">
        <v>0</v>
      </c>
      <c r="L83">
        <v>0</v>
      </c>
      <c r="M83" t="s">
        <v>1303</v>
      </c>
      <c r="N83">
        <v>9600</v>
      </c>
      <c r="O83">
        <v>10462</v>
      </c>
      <c r="P83" t="s">
        <v>1310</v>
      </c>
      <c r="Q83" t="s">
        <v>1314</v>
      </c>
      <c r="R83" t="s">
        <v>1315</v>
      </c>
      <c r="S83" t="s">
        <v>1337</v>
      </c>
      <c r="AA83">
        <v>0</v>
      </c>
      <c r="AB83">
        <v>0</v>
      </c>
      <c r="AD83">
        <v>0</v>
      </c>
      <c r="AE83">
        <v>0</v>
      </c>
      <c r="AF83">
        <v>0</v>
      </c>
      <c r="AG83">
        <v>0</v>
      </c>
    </row>
    <row r="84" spans="1:33">
      <c r="A84" s="1">
        <f>HYPERLINK("https://lsnyc.legalserver.org/matter/dynamic-profile/view/1890613","19-1890613")</f>
        <v>0</v>
      </c>
      <c r="B84" t="s">
        <v>33</v>
      </c>
      <c r="C84" t="s">
        <v>63</v>
      </c>
      <c r="D84" t="s">
        <v>82</v>
      </c>
      <c r="E84" t="s">
        <v>680</v>
      </c>
      <c r="F84">
        <v>5437</v>
      </c>
      <c r="G84" t="s">
        <v>1195</v>
      </c>
      <c r="I84" t="s">
        <v>1299</v>
      </c>
      <c r="J84">
        <v>3</v>
      </c>
      <c r="K84">
        <v>1</v>
      </c>
      <c r="L84">
        <v>0</v>
      </c>
      <c r="N84">
        <v>36456</v>
      </c>
      <c r="O84">
        <v>10312</v>
      </c>
      <c r="P84" t="s">
        <v>1307</v>
      </c>
      <c r="Q84" t="s">
        <v>1319</v>
      </c>
      <c r="R84" t="s">
        <v>1315</v>
      </c>
      <c r="S84" t="s">
        <v>1337</v>
      </c>
      <c r="T84" t="s">
        <v>1334</v>
      </c>
      <c r="W84" t="s">
        <v>1366</v>
      </c>
      <c r="AA84">
        <v>0</v>
      </c>
      <c r="AB84">
        <v>0</v>
      </c>
      <c r="AD84">
        <v>0</v>
      </c>
      <c r="AE84">
        <v>0</v>
      </c>
      <c r="AF84">
        <v>0</v>
      </c>
      <c r="AG84">
        <v>0</v>
      </c>
    </row>
    <row r="85" spans="1:33">
      <c r="A85" s="1">
        <f>HYPERLINK("https://lsnyc.legalserver.org/matter/dynamic-profile/view/0811935","16-0811935")</f>
        <v>0</v>
      </c>
      <c r="B85" t="s">
        <v>34</v>
      </c>
      <c r="C85" t="s">
        <v>64</v>
      </c>
      <c r="D85" t="s">
        <v>153</v>
      </c>
      <c r="E85" t="s">
        <v>681</v>
      </c>
      <c r="F85">
        <v>5442</v>
      </c>
      <c r="G85" t="s">
        <v>1218</v>
      </c>
      <c r="I85" t="s">
        <v>1299</v>
      </c>
      <c r="J85">
        <v>2</v>
      </c>
      <c r="K85">
        <v>0</v>
      </c>
      <c r="L85">
        <v>1</v>
      </c>
      <c r="M85" t="s">
        <v>1302</v>
      </c>
      <c r="N85">
        <v>27168</v>
      </c>
      <c r="O85">
        <v>11419</v>
      </c>
      <c r="P85" t="s">
        <v>1308</v>
      </c>
      <c r="Q85" t="s">
        <v>1316</v>
      </c>
      <c r="S85" t="s">
        <v>1338</v>
      </c>
      <c r="T85" t="s">
        <v>1332</v>
      </c>
      <c r="W85" t="s">
        <v>1362</v>
      </c>
      <c r="Y85" t="s">
        <v>1366</v>
      </c>
      <c r="AA85">
        <v>0</v>
      </c>
      <c r="AB85">
        <v>0</v>
      </c>
      <c r="AD85">
        <v>0</v>
      </c>
      <c r="AE85">
        <v>0</v>
      </c>
      <c r="AF85">
        <v>0</v>
      </c>
      <c r="AG85">
        <v>0</v>
      </c>
    </row>
    <row r="86" spans="1:33">
      <c r="A86" s="1">
        <f>HYPERLINK("https://lsnyc.legalserver.org/matter/dynamic-profile/view/1890509","19-1890509")</f>
        <v>0</v>
      </c>
      <c r="B86" t="s">
        <v>33</v>
      </c>
      <c r="C86" t="s">
        <v>56</v>
      </c>
      <c r="D86" t="s">
        <v>154</v>
      </c>
      <c r="E86" t="s">
        <v>682</v>
      </c>
      <c r="F86">
        <v>5437</v>
      </c>
      <c r="I86" t="s">
        <v>1299</v>
      </c>
      <c r="J86">
        <v>2</v>
      </c>
      <c r="K86">
        <v>0</v>
      </c>
      <c r="L86">
        <v>0</v>
      </c>
      <c r="M86" t="s">
        <v>1301</v>
      </c>
      <c r="N86">
        <v>15468</v>
      </c>
      <c r="O86">
        <v>10314</v>
      </c>
      <c r="P86" t="s">
        <v>1307</v>
      </c>
      <c r="Q86" t="s">
        <v>1325</v>
      </c>
      <c r="S86" t="s">
        <v>1336</v>
      </c>
      <c r="T86" t="s">
        <v>1335</v>
      </c>
      <c r="W86" t="s">
        <v>1366</v>
      </c>
      <c r="Y86" t="s">
        <v>1386</v>
      </c>
      <c r="AA86">
        <v>0</v>
      </c>
      <c r="AB86">
        <v>0</v>
      </c>
      <c r="AD86">
        <v>0</v>
      </c>
      <c r="AE86">
        <v>0</v>
      </c>
      <c r="AF86">
        <v>0</v>
      </c>
      <c r="AG86">
        <v>0</v>
      </c>
    </row>
    <row r="87" spans="1:33">
      <c r="A87" s="1">
        <f>HYPERLINK("https://lsnyc.legalserver.org/matter/dynamic-profile/view/1894183","19-1894183")</f>
        <v>0</v>
      </c>
      <c r="B87" t="s">
        <v>33</v>
      </c>
      <c r="C87" t="s">
        <v>38</v>
      </c>
      <c r="D87" t="s">
        <v>155</v>
      </c>
      <c r="E87" t="s">
        <v>683</v>
      </c>
      <c r="F87">
        <v>5437</v>
      </c>
      <c r="G87" t="s">
        <v>1206</v>
      </c>
      <c r="I87" t="s">
        <v>1299</v>
      </c>
      <c r="J87">
        <v>4</v>
      </c>
      <c r="K87">
        <v>1</v>
      </c>
      <c r="L87">
        <v>0</v>
      </c>
      <c r="M87" t="s">
        <v>1301</v>
      </c>
      <c r="N87">
        <v>26000</v>
      </c>
      <c r="O87">
        <v>10314</v>
      </c>
      <c r="P87" t="s">
        <v>1307</v>
      </c>
      <c r="Q87" t="s">
        <v>1325</v>
      </c>
      <c r="S87" t="s">
        <v>1336</v>
      </c>
      <c r="W87" t="s">
        <v>1366</v>
      </c>
      <c r="AA87">
        <v>0</v>
      </c>
      <c r="AB87">
        <v>0</v>
      </c>
      <c r="AD87">
        <v>0</v>
      </c>
      <c r="AE87">
        <v>0</v>
      </c>
      <c r="AF87">
        <v>0</v>
      </c>
      <c r="AG87">
        <v>0</v>
      </c>
    </row>
    <row r="88" spans="1:33">
      <c r="A88" s="1">
        <f>HYPERLINK("https://lsnyc.legalserver.org/matter/dynamic-profile/view/0760467","14-0760467")</f>
        <v>0</v>
      </c>
      <c r="B88" t="s">
        <v>34</v>
      </c>
      <c r="C88" t="s">
        <v>49</v>
      </c>
      <c r="D88" t="s">
        <v>156</v>
      </c>
      <c r="E88" t="s">
        <v>684</v>
      </c>
      <c r="F88">
        <v>5442</v>
      </c>
      <c r="G88" t="s">
        <v>1219</v>
      </c>
      <c r="I88" t="s">
        <v>1299</v>
      </c>
      <c r="J88">
        <v>5</v>
      </c>
      <c r="K88">
        <v>0</v>
      </c>
      <c r="L88">
        <v>1</v>
      </c>
      <c r="M88" t="s">
        <v>1301</v>
      </c>
      <c r="N88">
        <v>82332</v>
      </c>
      <c r="O88">
        <v>11421</v>
      </c>
      <c r="P88" t="s">
        <v>1308</v>
      </c>
      <c r="Q88" t="s">
        <v>1314</v>
      </c>
      <c r="S88" t="s">
        <v>1338</v>
      </c>
      <c r="W88" t="s">
        <v>1366</v>
      </c>
      <c r="AA88">
        <v>0</v>
      </c>
      <c r="AB88">
        <v>0</v>
      </c>
      <c r="AD88">
        <v>0</v>
      </c>
      <c r="AE88">
        <v>0</v>
      </c>
      <c r="AF88">
        <v>0</v>
      </c>
      <c r="AG88">
        <v>0</v>
      </c>
    </row>
    <row r="89" spans="1:33">
      <c r="A89" s="1">
        <f>HYPERLINK("https://lsnyc.legalserver.org/matter/dynamic-profile/view/0792409","15-0792409")</f>
        <v>0</v>
      </c>
      <c r="B89" t="s">
        <v>33</v>
      </c>
      <c r="C89" t="s">
        <v>56</v>
      </c>
      <c r="D89" t="s">
        <v>157</v>
      </c>
      <c r="E89" t="s">
        <v>685</v>
      </c>
      <c r="F89">
        <v>5437</v>
      </c>
      <c r="G89" t="s">
        <v>1207</v>
      </c>
      <c r="H89" t="s">
        <v>1292</v>
      </c>
      <c r="I89" t="s">
        <v>1299</v>
      </c>
      <c r="J89">
        <v>1</v>
      </c>
      <c r="K89">
        <v>0</v>
      </c>
      <c r="L89">
        <v>0</v>
      </c>
      <c r="M89" t="s">
        <v>1302</v>
      </c>
      <c r="N89">
        <v>21349</v>
      </c>
      <c r="O89">
        <v>10304</v>
      </c>
      <c r="P89" t="s">
        <v>1307</v>
      </c>
      <c r="Q89" t="s">
        <v>1315</v>
      </c>
      <c r="S89" t="s">
        <v>1334</v>
      </c>
      <c r="T89" t="s">
        <v>1336</v>
      </c>
      <c r="W89" t="s">
        <v>1372</v>
      </c>
      <c r="Y89" t="s">
        <v>1366</v>
      </c>
      <c r="AA89">
        <v>0</v>
      </c>
      <c r="AB89">
        <v>0</v>
      </c>
      <c r="AD89">
        <v>0</v>
      </c>
      <c r="AE89">
        <v>0</v>
      </c>
      <c r="AF89">
        <v>0</v>
      </c>
      <c r="AG89">
        <v>0</v>
      </c>
    </row>
    <row r="90" spans="1:33">
      <c r="A90" s="1">
        <f>HYPERLINK("https://lsnyc.legalserver.org/matter/dynamic-profile/view/0805083","16-0805083")</f>
        <v>0</v>
      </c>
      <c r="B90" t="s">
        <v>33</v>
      </c>
      <c r="C90" t="s">
        <v>56</v>
      </c>
      <c r="D90" t="s">
        <v>158</v>
      </c>
      <c r="E90" t="s">
        <v>686</v>
      </c>
      <c r="F90">
        <v>5437</v>
      </c>
      <c r="G90" t="s">
        <v>1220</v>
      </c>
      <c r="I90" t="s">
        <v>1299</v>
      </c>
      <c r="J90">
        <v>2</v>
      </c>
      <c r="K90">
        <v>1</v>
      </c>
      <c r="L90">
        <v>2</v>
      </c>
      <c r="M90" t="s">
        <v>1301</v>
      </c>
      <c r="N90">
        <v>48804</v>
      </c>
      <c r="O90">
        <v>10303</v>
      </c>
      <c r="P90" t="s">
        <v>1307</v>
      </c>
      <c r="Q90" t="s">
        <v>1315</v>
      </c>
      <c r="S90" t="s">
        <v>1338</v>
      </c>
      <c r="T90" t="s">
        <v>1333</v>
      </c>
      <c r="U90" t="s">
        <v>1352</v>
      </c>
      <c r="W90" t="s">
        <v>1360</v>
      </c>
      <c r="Y90" t="s">
        <v>1365</v>
      </c>
      <c r="AA90">
        <v>1509.07</v>
      </c>
      <c r="AB90">
        <v>0</v>
      </c>
      <c r="AD90">
        <v>66404.06</v>
      </c>
      <c r="AE90">
        <v>0</v>
      </c>
      <c r="AF90">
        <v>0</v>
      </c>
      <c r="AG90">
        <v>0</v>
      </c>
    </row>
    <row r="91" spans="1:33">
      <c r="A91" s="1">
        <f>HYPERLINK("https://lsnyc.legalserver.org/matter/dynamic-profile/view/0810848","16-0810848")</f>
        <v>0</v>
      </c>
      <c r="B91" t="s">
        <v>34</v>
      </c>
      <c r="C91" t="s">
        <v>65</v>
      </c>
      <c r="D91" t="s">
        <v>159</v>
      </c>
      <c r="E91" t="s">
        <v>633</v>
      </c>
      <c r="F91">
        <v>5442</v>
      </c>
      <c r="G91" t="s">
        <v>1221</v>
      </c>
      <c r="I91" t="s">
        <v>1299</v>
      </c>
      <c r="J91">
        <v>2</v>
      </c>
      <c r="K91">
        <v>0</v>
      </c>
      <c r="L91">
        <v>1</v>
      </c>
      <c r="M91" t="s">
        <v>1301</v>
      </c>
      <c r="N91">
        <v>27492</v>
      </c>
      <c r="O91">
        <v>11434</v>
      </c>
      <c r="P91" t="s">
        <v>1308</v>
      </c>
      <c r="Q91" t="s">
        <v>1319</v>
      </c>
      <c r="S91" t="s">
        <v>1338</v>
      </c>
      <c r="T91" t="s">
        <v>1334</v>
      </c>
      <c r="W91" t="s">
        <v>1361</v>
      </c>
      <c r="Y91" t="s">
        <v>1366</v>
      </c>
      <c r="AA91">
        <v>0</v>
      </c>
      <c r="AB91">
        <v>0</v>
      </c>
      <c r="AD91">
        <v>0</v>
      </c>
      <c r="AE91">
        <v>0</v>
      </c>
      <c r="AF91">
        <v>0</v>
      </c>
      <c r="AG91">
        <v>0</v>
      </c>
    </row>
    <row r="92" spans="1:33">
      <c r="A92" s="1">
        <f>HYPERLINK("https://lsnyc.legalserver.org/matter/dynamic-profile/view/0814696","16-0814696")</f>
        <v>0</v>
      </c>
      <c r="B92" t="s">
        <v>34</v>
      </c>
      <c r="C92" t="s">
        <v>64</v>
      </c>
      <c r="D92" t="s">
        <v>160</v>
      </c>
      <c r="E92" t="s">
        <v>687</v>
      </c>
      <c r="F92">
        <v>5442</v>
      </c>
      <c r="G92" t="s">
        <v>1189</v>
      </c>
      <c r="I92" t="s">
        <v>1299</v>
      </c>
      <c r="J92">
        <v>2</v>
      </c>
      <c r="K92">
        <v>5</v>
      </c>
      <c r="L92">
        <v>0</v>
      </c>
      <c r="M92" t="s">
        <v>1301</v>
      </c>
      <c r="N92">
        <v>63543.96</v>
      </c>
      <c r="O92">
        <v>11420</v>
      </c>
      <c r="P92" t="s">
        <v>1308</v>
      </c>
      <c r="Q92" t="s">
        <v>1316</v>
      </c>
      <c r="S92" t="s">
        <v>1338</v>
      </c>
      <c r="T92" t="s">
        <v>1332</v>
      </c>
      <c r="Y92" t="s">
        <v>1361</v>
      </c>
      <c r="AA92">
        <v>0</v>
      </c>
      <c r="AB92">
        <v>0</v>
      </c>
      <c r="AD92">
        <v>0</v>
      </c>
      <c r="AE92">
        <v>0</v>
      </c>
      <c r="AF92">
        <v>0</v>
      </c>
      <c r="AG92">
        <v>0</v>
      </c>
    </row>
    <row r="93" spans="1:33">
      <c r="A93" s="1">
        <f>HYPERLINK("https://lsnyc.legalserver.org/matter/dynamic-profile/view/0814898","16-0814898")</f>
        <v>0</v>
      </c>
      <c r="B93" t="s">
        <v>34</v>
      </c>
      <c r="C93" t="s">
        <v>42</v>
      </c>
      <c r="D93" t="s">
        <v>161</v>
      </c>
      <c r="E93" t="s">
        <v>688</v>
      </c>
      <c r="F93">
        <v>5442</v>
      </c>
      <c r="G93" t="s">
        <v>1183</v>
      </c>
      <c r="I93" t="s">
        <v>1299</v>
      </c>
      <c r="J93">
        <v>4</v>
      </c>
      <c r="K93">
        <v>4</v>
      </c>
      <c r="L93">
        <v>1</v>
      </c>
      <c r="M93" t="s">
        <v>1301</v>
      </c>
      <c r="N93">
        <v>31200</v>
      </c>
      <c r="O93">
        <v>11419</v>
      </c>
      <c r="P93" t="s">
        <v>1308</v>
      </c>
      <c r="Q93" t="s">
        <v>1318</v>
      </c>
      <c r="S93" t="s">
        <v>1338</v>
      </c>
      <c r="U93" t="s">
        <v>1357</v>
      </c>
      <c r="W93" t="s">
        <v>1362</v>
      </c>
      <c r="AA93">
        <v>0</v>
      </c>
      <c r="AB93">
        <v>0</v>
      </c>
      <c r="AD93">
        <v>0</v>
      </c>
      <c r="AE93">
        <v>0</v>
      </c>
      <c r="AF93">
        <v>0</v>
      </c>
      <c r="AG93">
        <v>0</v>
      </c>
    </row>
    <row r="94" spans="1:33">
      <c r="A94" s="1">
        <f>HYPERLINK("https://lsnyc.legalserver.org/matter/dynamic-profile/view/1836914","17-1836914")</f>
        <v>0</v>
      </c>
      <c r="B94" t="s">
        <v>34</v>
      </c>
      <c r="C94" t="s">
        <v>64</v>
      </c>
      <c r="D94" t="s">
        <v>162</v>
      </c>
      <c r="E94" t="s">
        <v>689</v>
      </c>
      <c r="F94">
        <v>5442</v>
      </c>
      <c r="I94" t="s">
        <v>1299</v>
      </c>
      <c r="J94">
        <v>3</v>
      </c>
      <c r="K94">
        <v>0</v>
      </c>
      <c r="L94">
        <v>0</v>
      </c>
      <c r="N94">
        <v>26000</v>
      </c>
      <c r="O94">
        <v>11372</v>
      </c>
      <c r="P94" t="s">
        <v>1308</v>
      </c>
      <c r="AA94">
        <v>0</v>
      </c>
      <c r="AB94">
        <v>0</v>
      </c>
      <c r="AD94">
        <v>0</v>
      </c>
      <c r="AE94">
        <v>0</v>
      </c>
      <c r="AF94">
        <v>0</v>
      </c>
      <c r="AG94">
        <v>0</v>
      </c>
    </row>
    <row r="95" spans="1:33">
      <c r="A95" s="1">
        <f>HYPERLINK("https://lsnyc.legalserver.org/matter/dynamic-profile/view/1852987","17-1852987")</f>
        <v>0</v>
      </c>
      <c r="B95" t="s">
        <v>36</v>
      </c>
      <c r="C95" t="s">
        <v>58</v>
      </c>
      <c r="D95" t="s">
        <v>163</v>
      </c>
      <c r="E95" t="s">
        <v>690</v>
      </c>
      <c r="F95">
        <v>5440</v>
      </c>
      <c r="G95" t="s">
        <v>1205</v>
      </c>
      <c r="I95" t="s">
        <v>1299</v>
      </c>
      <c r="J95">
        <v>3</v>
      </c>
      <c r="K95">
        <v>0</v>
      </c>
      <c r="L95">
        <v>1</v>
      </c>
      <c r="M95" t="s">
        <v>1302</v>
      </c>
      <c r="N95">
        <v>12000</v>
      </c>
      <c r="O95">
        <v>10458</v>
      </c>
      <c r="P95" t="s">
        <v>1310</v>
      </c>
      <c r="Q95" t="s">
        <v>1316</v>
      </c>
      <c r="S95" t="s">
        <v>1332</v>
      </c>
      <c r="T95" t="s">
        <v>1333</v>
      </c>
      <c r="W95" t="s">
        <v>1361</v>
      </c>
      <c r="AA95">
        <v>0</v>
      </c>
      <c r="AB95">
        <v>0</v>
      </c>
      <c r="AD95">
        <v>0</v>
      </c>
      <c r="AE95">
        <v>0</v>
      </c>
      <c r="AF95">
        <v>0</v>
      </c>
      <c r="AG95">
        <v>0</v>
      </c>
    </row>
    <row r="96" spans="1:33">
      <c r="A96" s="1">
        <f>HYPERLINK("https://lsnyc.legalserver.org/matter/dynamic-profile/view/1857004","18-1857004")</f>
        <v>0</v>
      </c>
      <c r="B96" t="s">
        <v>36</v>
      </c>
      <c r="C96" t="s">
        <v>58</v>
      </c>
      <c r="D96" t="s">
        <v>164</v>
      </c>
      <c r="E96" t="s">
        <v>691</v>
      </c>
      <c r="F96">
        <v>5440</v>
      </c>
      <c r="G96" t="s">
        <v>1222</v>
      </c>
      <c r="I96" t="s">
        <v>1299</v>
      </c>
      <c r="J96">
        <v>1</v>
      </c>
      <c r="K96">
        <v>0</v>
      </c>
      <c r="L96">
        <v>0</v>
      </c>
      <c r="M96" t="s">
        <v>1302</v>
      </c>
      <c r="N96">
        <v>16584</v>
      </c>
      <c r="O96">
        <v>10473</v>
      </c>
      <c r="P96" t="s">
        <v>1310</v>
      </c>
      <c r="Q96" t="s">
        <v>1315</v>
      </c>
      <c r="S96" t="s">
        <v>1340</v>
      </c>
      <c r="T96" t="s">
        <v>1334</v>
      </c>
      <c r="U96" t="s">
        <v>1354</v>
      </c>
      <c r="W96" t="s">
        <v>1365</v>
      </c>
      <c r="Y96" t="s">
        <v>1387</v>
      </c>
      <c r="AA96">
        <v>0</v>
      </c>
      <c r="AB96">
        <v>0</v>
      </c>
      <c r="AD96">
        <v>0</v>
      </c>
      <c r="AE96">
        <v>0</v>
      </c>
      <c r="AF96">
        <v>0</v>
      </c>
      <c r="AG96">
        <v>0</v>
      </c>
    </row>
    <row r="97" spans="1:33">
      <c r="A97" s="1">
        <f>HYPERLINK("https://lsnyc.legalserver.org/matter/dynamic-profile/view/1858151","18-1858151")</f>
        <v>0</v>
      </c>
      <c r="B97" t="s">
        <v>33</v>
      </c>
      <c r="C97" t="s">
        <v>53</v>
      </c>
      <c r="D97" t="s">
        <v>165</v>
      </c>
      <c r="E97" t="s">
        <v>692</v>
      </c>
      <c r="F97">
        <v>5437</v>
      </c>
      <c r="G97" t="s">
        <v>1178</v>
      </c>
      <c r="I97" t="s">
        <v>1299</v>
      </c>
      <c r="J97">
        <v>2</v>
      </c>
      <c r="K97">
        <v>0</v>
      </c>
      <c r="L97">
        <v>0</v>
      </c>
      <c r="N97">
        <v>15600</v>
      </c>
      <c r="O97">
        <v>10314</v>
      </c>
      <c r="P97" t="s">
        <v>1307</v>
      </c>
      <c r="Q97" t="s">
        <v>1319</v>
      </c>
      <c r="S97" t="s">
        <v>1336</v>
      </c>
      <c r="W97" t="s">
        <v>1366</v>
      </c>
      <c r="AA97">
        <v>0</v>
      </c>
      <c r="AB97">
        <v>0</v>
      </c>
      <c r="AD97">
        <v>0</v>
      </c>
      <c r="AE97">
        <v>0</v>
      </c>
      <c r="AF97">
        <v>0</v>
      </c>
      <c r="AG97">
        <v>0</v>
      </c>
    </row>
    <row r="98" spans="1:33">
      <c r="A98" s="1">
        <f>HYPERLINK("https://lsnyc.legalserver.org/matter/dynamic-profile/view/1861955","18-1861955")</f>
        <v>0</v>
      </c>
      <c r="B98" t="s">
        <v>36</v>
      </c>
      <c r="C98" t="s">
        <v>46</v>
      </c>
      <c r="D98" t="s">
        <v>166</v>
      </c>
      <c r="E98" t="s">
        <v>693</v>
      </c>
      <c r="F98">
        <v>5440</v>
      </c>
      <c r="G98" t="s">
        <v>1209</v>
      </c>
      <c r="I98" t="s">
        <v>1299</v>
      </c>
      <c r="J98">
        <v>1</v>
      </c>
      <c r="K98">
        <v>0</v>
      </c>
      <c r="L98">
        <v>1</v>
      </c>
      <c r="M98" t="s">
        <v>1303</v>
      </c>
      <c r="N98">
        <v>25848</v>
      </c>
      <c r="O98">
        <v>10456</v>
      </c>
      <c r="P98" t="s">
        <v>1310</v>
      </c>
      <c r="Q98" t="s">
        <v>1324</v>
      </c>
      <c r="S98" t="s">
        <v>1341</v>
      </c>
      <c r="T98" t="s">
        <v>1334</v>
      </c>
      <c r="W98" t="s">
        <v>1369</v>
      </c>
      <c r="Y98" t="s">
        <v>1368</v>
      </c>
      <c r="AA98">
        <v>0</v>
      </c>
      <c r="AB98">
        <v>0</v>
      </c>
      <c r="AD98">
        <v>0</v>
      </c>
      <c r="AE98">
        <v>0</v>
      </c>
      <c r="AF98">
        <v>0</v>
      </c>
      <c r="AG98">
        <v>0</v>
      </c>
    </row>
    <row r="99" spans="1:33">
      <c r="A99" s="1">
        <f>HYPERLINK("https://lsnyc.legalserver.org/matter/dynamic-profile/view/1862447","18-1862447")</f>
        <v>0</v>
      </c>
      <c r="B99" t="s">
        <v>33</v>
      </c>
      <c r="C99" t="s">
        <v>56</v>
      </c>
      <c r="D99" t="s">
        <v>147</v>
      </c>
      <c r="E99" t="s">
        <v>694</v>
      </c>
      <c r="F99">
        <v>5437</v>
      </c>
      <c r="G99" t="s">
        <v>1185</v>
      </c>
      <c r="I99" t="s">
        <v>1299</v>
      </c>
      <c r="J99">
        <v>3</v>
      </c>
      <c r="K99">
        <v>2</v>
      </c>
      <c r="L99">
        <v>0</v>
      </c>
      <c r="N99">
        <v>37176</v>
      </c>
      <c r="O99">
        <v>10314</v>
      </c>
      <c r="P99" t="s">
        <v>1307</v>
      </c>
      <c r="Q99" t="s">
        <v>1318</v>
      </c>
      <c r="R99" t="s">
        <v>1331</v>
      </c>
      <c r="S99" t="s">
        <v>1334</v>
      </c>
      <c r="T99" t="s">
        <v>1336</v>
      </c>
      <c r="W99" t="s">
        <v>1366</v>
      </c>
      <c r="AA99">
        <v>0</v>
      </c>
      <c r="AB99">
        <v>0</v>
      </c>
      <c r="AD99">
        <v>0</v>
      </c>
      <c r="AE99">
        <v>0</v>
      </c>
      <c r="AF99">
        <v>0</v>
      </c>
      <c r="AG99">
        <v>0</v>
      </c>
    </row>
    <row r="100" spans="1:33">
      <c r="A100" s="1">
        <f>HYPERLINK("https://lsnyc.legalserver.org/matter/dynamic-profile/view/1863095","18-1863095")</f>
        <v>0</v>
      </c>
      <c r="B100" t="s">
        <v>33</v>
      </c>
      <c r="C100" t="s">
        <v>53</v>
      </c>
      <c r="D100" t="s">
        <v>167</v>
      </c>
      <c r="E100" t="s">
        <v>695</v>
      </c>
      <c r="F100">
        <v>5437</v>
      </c>
      <c r="G100" t="s">
        <v>1223</v>
      </c>
      <c r="I100" t="s">
        <v>1299</v>
      </c>
      <c r="J100">
        <v>3</v>
      </c>
      <c r="K100">
        <v>3</v>
      </c>
      <c r="L100">
        <v>0</v>
      </c>
      <c r="M100" t="s">
        <v>1302</v>
      </c>
      <c r="N100">
        <v>84000</v>
      </c>
      <c r="O100">
        <v>10305</v>
      </c>
      <c r="P100" t="s">
        <v>1307</v>
      </c>
      <c r="Q100" t="s">
        <v>1315</v>
      </c>
      <c r="S100" t="s">
        <v>1340</v>
      </c>
      <c r="T100" t="s">
        <v>1336</v>
      </c>
      <c r="W100" t="s">
        <v>1365</v>
      </c>
      <c r="Y100" t="s">
        <v>1366</v>
      </c>
      <c r="AA100">
        <v>0</v>
      </c>
      <c r="AB100">
        <v>0</v>
      </c>
      <c r="AD100">
        <v>0</v>
      </c>
      <c r="AE100">
        <v>0</v>
      </c>
      <c r="AF100">
        <v>0</v>
      </c>
      <c r="AG100">
        <v>0</v>
      </c>
    </row>
    <row r="101" spans="1:33">
      <c r="A101" s="1">
        <f>HYPERLINK("https://lsnyc.legalserver.org/matter/dynamic-profile/view/1865214","18-1865214")</f>
        <v>0</v>
      </c>
      <c r="B101" t="s">
        <v>35</v>
      </c>
      <c r="C101" t="s">
        <v>55</v>
      </c>
      <c r="D101" t="s">
        <v>157</v>
      </c>
      <c r="E101" t="s">
        <v>629</v>
      </c>
      <c r="F101">
        <v>5553</v>
      </c>
      <c r="G101" t="s">
        <v>1183</v>
      </c>
      <c r="I101" t="s">
        <v>1299</v>
      </c>
      <c r="J101">
        <v>2</v>
      </c>
      <c r="K101">
        <v>0</v>
      </c>
      <c r="L101">
        <v>2</v>
      </c>
      <c r="M101" t="s">
        <v>1302</v>
      </c>
      <c r="N101">
        <v>16212</v>
      </c>
      <c r="O101">
        <v>11203</v>
      </c>
      <c r="P101" t="s">
        <v>1309</v>
      </c>
      <c r="Q101" t="s">
        <v>1316</v>
      </c>
      <c r="R101" t="s">
        <v>1324</v>
      </c>
      <c r="S101" t="s">
        <v>1333</v>
      </c>
      <c r="T101" t="s">
        <v>1334</v>
      </c>
      <c r="W101" t="s">
        <v>1366</v>
      </c>
      <c r="Y101" t="s">
        <v>1385</v>
      </c>
      <c r="AA101">
        <v>0</v>
      </c>
      <c r="AB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s="1">
        <f>HYPERLINK("https://lsnyc.legalserver.org/matter/dynamic-profile/view/1860798","18-1860798")</f>
        <v>0</v>
      </c>
      <c r="B102" t="s">
        <v>33</v>
      </c>
      <c r="C102" t="s">
        <v>63</v>
      </c>
      <c r="D102" t="s">
        <v>141</v>
      </c>
      <c r="E102" t="s">
        <v>696</v>
      </c>
      <c r="F102">
        <v>5437</v>
      </c>
      <c r="G102" t="s">
        <v>1218</v>
      </c>
      <c r="I102" t="s">
        <v>1299</v>
      </c>
      <c r="J102">
        <v>1</v>
      </c>
      <c r="K102">
        <v>0</v>
      </c>
      <c r="L102">
        <v>0</v>
      </c>
      <c r="N102">
        <v>24756</v>
      </c>
      <c r="O102">
        <v>10303</v>
      </c>
      <c r="P102" t="s">
        <v>1307</v>
      </c>
      <c r="Q102" t="s">
        <v>1315</v>
      </c>
      <c r="S102" t="s">
        <v>1337</v>
      </c>
      <c r="U102" t="s">
        <v>1356</v>
      </c>
      <c r="W102" t="s">
        <v>1366</v>
      </c>
      <c r="AA102">
        <v>0</v>
      </c>
      <c r="AB102">
        <v>0</v>
      </c>
      <c r="AD102">
        <v>0</v>
      </c>
      <c r="AE102">
        <v>0</v>
      </c>
      <c r="AF102">
        <v>0</v>
      </c>
      <c r="AG102">
        <v>0</v>
      </c>
    </row>
    <row r="103" spans="1:33">
      <c r="A103" s="1">
        <f>HYPERLINK("https://lsnyc.legalserver.org/matter/dynamic-profile/view/1873930","18-1873930")</f>
        <v>0</v>
      </c>
      <c r="B103" t="s">
        <v>34</v>
      </c>
      <c r="C103" t="s">
        <v>42</v>
      </c>
      <c r="D103" t="s">
        <v>168</v>
      </c>
      <c r="E103" t="s">
        <v>697</v>
      </c>
      <c r="F103">
        <v>5442</v>
      </c>
      <c r="G103" t="s">
        <v>1211</v>
      </c>
      <c r="I103" t="s">
        <v>1299</v>
      </c>
      <c r="J103">
        <v>2</v>
      </c>
      <c r="K103">
        <v>0</v>
      </c>
      <c r="L103">
        <v>0</v>
      </c>
      <c r="M103" t="s">
        <v>1301</v>
      </c>
      <c r="N103">
        <v>20628</v>
      </c>
      <c r="O103">
        <v>11428</v>
      </c>
      <c r="P103" t="s">
        <v>1308</v>
      </c>
      <c r="Q103" t="s">
        <v>1315</v>
      </c>
      <c r="S103" t="s">
        <v>1332</v>
      </c>
      <c r="T103" t="s">
        <v>1333</v>
      </c>
      <c r="W103" t="s">
        <v>1361</v>
      </c>
      <c r="AA103">
        <v>0</v>
      </c>
      <c r="AB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s="1">
        <f>HYPERLINK("https://lsnyc.legalserver.org/matter/dynamic-profile/view/1874700","18-1874700")</f>
        <v>0</v>
      </c>
      <c r="B104" t="s">
        <v>36</v>
      </c>
      <c r="C104" t="s">
        <v>59</v>
      </c>
      <c r="D104" t="s">
        <v>169</v>
      </c>
      <c r="E104" t="s">
        <v>698</v>
      </c>
      <c r="F104">
        <v>5440</v>
      </c>
      <c r="G104" t="s">
        <v>1224</v>
      </c>
      <c r="I104" t="s">
        <v>1299</v>
      </c>
      <c r="J104">
        <v>2</v>
      </c>
      <c r="K104">
        <v>1</v>
      </c>
      <c r="L104">
        <v>0</v>
      </c>
      <c r="M104" t="s">
        <v>1303</v>
      </c>
      <c r="N104">
        <v>30000</v>
      </c>
      <c r="O104">
        <v>10473</v>
      </c>
      <c r="P104" t="s">
        <v>1310</v>
      </c>
      <c r="Q104" t="s">
        <v>1315</v>
      </c>
      <c r="S104" t="s">
        <v>1337</v>
      </c>
      <c r="U104" t="s">
        <v>1353</v>
      </c>
      <c r="W104" t="s">
        <v>1366</v>
      </c>
      <c r="AA104">
        <v>1094.59</v>
      </c>
      <c r="AB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s="1">
        <f>HYPERLINK("https://lsnyc.legalserver.org/matter/dynamic-profile/view/1877519","18-1877519")</f>
        <v>0</v>
      </c>
      <c r="B105" t="s">
        <v>34</v>
      </c>
      <c r="C105" t="s">
        <v>49</v>
      </c>
      <c r="D105" t="s">
        <v>170</v>
      </c>
      <c r="E105" t="s">
        <v>699</v>
      </c>
      <c r="F105">
        <v>5442</v>
      </c>
      <c r="I105" t="s">
        <v>1299</v>
      </c>
      <c r="J105">
        <v>1</v>
      </c>
      <c r="K105">
        <v>1</v>
      </c>
      <c r="L105">
        <v>0</v>
      </c>
      <c r="N105">
        <v>32220</v>
      </c>
      <c r="O105">
        <v>11412</v>
      </c>
      <c r="P105" t="s">
        <v>1308</v>
      </c>
      <c r="Q105" t="s">
        <v>1314</v>
      </c>
      <c r="S105" t="s">
        <v>1336</v>
      </c>
      <c r="AA105">
        <v>0</v>
      </c>
      <c r="AB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s="1">
        <f>HYPERLINK("https://lsnyc.legalserver.org/matter/dynamic-profile/view/1877879","18-1877879")</f>
        <v>0</v>
      </c>
      <c r="B106" t="s">
        <v>34</v>
      </c>
      <c r="C106" t="s">
        <v>64</v>
      </c>
      <c r="D106" t="s">
        <v>171</v>
      </c>
      <c r="E106" t="s">
        <v>700</v>
      </c>
      <c r="F106">
        <v>5442</v>
      </c>
      <c r="G106" t="s">
        <v>1198</v>
      </c>
      <c r="I106" t="s">
        <v>1299</v>
      </c>
      <c r="J106">
        <v>2</v>
      </c>
      <c r="K106">
        <v>2</v>
      </c>
      <c r="L106">
        <v>0</v>
      </c>
      <c r="N106">
        <v>60936</v>
      </c>
      <c r="O106">
        <v>11417</v>
      </c>
      <c r="P106" t="s">
        <v>1308</v>
      </c>
      <c r="Q106" t="s">
        <v>1324</v>
      </c>
      <c r="S106" t="s">
        <v>1341</v>
      </c>
      <c r="T106" t="s">
        <v>1336</v>
      </c>
      <c r="W106" t="s">
        <v>1366</v>
      </c>
      <c r="AA106">
        <v>0</v>
      </c>
      <c r="AB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s="1">
        <f>HYPERLINK("https://lsnyc.legalserver.org/matter/dynamic-profile/view/1874863","18-1874863")</f>
        <v>0</v>
      </c>
      <c r="B107" t="s">
        <v>33</v>
      </c>
      <c r="C107" t="s">
        <v>56</v>
      </c>
      <c r="D107" t="s">
        <v>172</v>
      </c>
      <c r="E107" t="s">
        <v>701</v>
      </c>
      <c r="F107">
        <v>5437</v>
      </c>
      <c r="G107" t="s">
        <v>1181</v>
      </c>
      <c r="I107" t="s">
        <v>1299</v>
      </c>
      <c r="J107">
        <v>1</v>
      </c>
      <c r="K107">
        <v>0</v>
      </c>
      <c r="L107">
        <v>0</v>
      </c>
      <c r="M107" t="s">
        <v>1302</v>
      </c>
      <c r="N107">
        <v>22880</v>
      </c>
      <c r="O107">
        <v>10310</v>
      </c>
      <c r="P107" t="s">
        <v>1307</v>
      </c>
      <c r="Q107" t="s">
        <v>1325</v>
      </c>
      <c r="S107" t="s">
        <v>1336</v>
      </c>
      <c r="W107" t="s">
        <v>1366</v>
      </c>
      <c r="AA107">
        <v>0</v>
      </c>
      <c r="AB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s="1">
        <f>HYPERLINK("https://lsnyc.legalserver.org/matter/dynamic-profile/view/1880508","18-1880508")</f>
        <v>0</v>
      </c>
      <c r="B108" t="s">
        <v>35</v>
      </c>
      <c r="C108" t="s">
        <v>61</v>
      </c>
      <c r="D108" t="s">
        <v>173</v>
      </c>
      <c r="E108" t="s">
        <v>623</v>
      </c>
      <c r="F108">
        <v>5553</v>
      </c>
      <c r="G108" t="s">
        <v>1183</v>
      </c>
      <c r="I108" t="s">
        <v>1299</v>
      </c>
      <c r="J108">
        <v>2</v>
      </c>
      <c r="K108">
        <v>0</v>
      </c>
      <c r="L108">
        <v>1</v>
      </c>
      <c r="M108" t="s">
        <v>1301</v>
      </c>
      <c r="N108">
        <v>52800</v>
      </c>
      <c r="O108">
        <v>11203</v>
      </c>
      <c r="P108" t="s">
        <v>1309</v>
      </c>
      <c r="Q108" t="s">
        <v>1320</v>
      </c>
      <c r="R108" t="s">
        <v>1314</v>
      </c>
      <c r="S108" t="s">
        <v>1332</v>
      </c>
      <c r="T108" t="s">
        <v>1336</v>
      </c>
      <c r="W108" t="s">
        <v>1361</v>
      </c>
      <c r="Y108" t="s">
        <v>1366</v>
      </c>
      <c r="AA108">
        <v>0</v>
      </c>
      <c r="AB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s="1">
        <f>HYPERLINK("https://lsnyc.legalserver.org/matter/dynamic-profile/view/1885430","18-1885430")</f>
        <v>0</v>
      </c>
      <c r="B109" t="s">
        <v>33</v>
      </c>
      <c r="C109" t="s">
        <v>56</v>
      </c>
      <c r="D109" t="s">
        <v>174</v>
      </c>
      <c r="E109" t="s">
        <v>702</v>
      </c>
      <c r="F109">
        <v>5437</v>
      </c>
      <c r="G109" t="s">
        <v>1207</v>
      </c>
      <c r="I109" t="s">
        <v>1299</v>
      </c>
      <c r="J109">
        <v>3</v>
      </c>
      <c r="K109">
        <v>2</v>
      </c>
      <c r="L109">
        <v>0</v>
      </c>
      <c r="M109" t="s">
        <v>1302</v>
      </c>
      <c r="N109">
        <v>56160</v>
      </c>
      <c r="O109">
        <v>10314</v>
      </c>
      <c r="P109" t="s">
        <v>1307</v>
      </c>
      <c r="Q109" t="s">
        <v>1316</v>
      </c>
      <c r="S109" t="s">
        <v>1336</v>
      </c>
      <c r="AA109">
        <v>0</v>
      </c>
      <c r="AB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s="1">
        <f>HYPERLINK("https://lsnyc.legalserver.org/matter/dynamic-profile/view/1885878","18-1885878")</f>
        <v>0</v>
      </c>
      <c r="B110" t="s">
        <v>33</v>
      </c>
      <c r="C110" t="s">
        <v>56</v>
      </c>
      <c r="D110" t="s">
        <v>175</v>
      </c>
      <c r="E110" t="s">
        <v>703</v>
      </c>
      <c r="F110">
        <v>5437</v>
      </c>
      <c r="G110" t="s">
        <v>1190</v>
      </c>
      <c r="I110" t="s">
        <v>1299</v>
      </c>
      <c r="J110">
        <v>1</v>
      </c>
      <c r="K110">
        <v>0</v>
      </c>
      <c r="L110">
        <v>0</v>
      </c>
      <c r="M110" t="s">
        <v>1301</v>
      </c>
      <c r="N110">
        <v>15600</v>
      </c>
      <c r="O110">
        <v>10312</v>
      </c>
      <c r="P110" t="s">
        <v>1307</v>
      </c>
      <c r="Q110" t="s">
        <v>1319</v>
      </c>
      <c r="S110" t="s">
        <v>1336</v>
      </c>
      <c r="AA110">
        <v>0</v>
      </c>
      <c r="AB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s="1">
        <f>HYPERLINK("https://lsnyc.legalserver.org/matter/dynamic-profile/view/1886960","19-1886960")</f>
        <v>0</v>
      </c>
      <c r="B111" t="s">
        <v>35</v>
      </c>
      <c r="C111" t="s">
        <v>55</v>
      </c>
      <c r="D111" t="s">
        <v>176</v>
      </c>
      <c r="E111" t="s">
        <v>704</v>
      </c>
      <c r="F111">
        <v>5553</v>
      </c>
      <c r="I111" t="s">
        <v>1299</v>
      </c>
      <c r="J111">
        <v>1</v>
      </c>
      <c r="K111">
        <v>0</v>
      </c>
      <c r="L111">
        <v>0</v>
      </c>
      <c r="M111" t="s">
        <v>1306</v>
      </c>
      <c r="N111">
        <v>0</v>
      </c>
      <c r="O111">
        <v>11212</v>
      </c>
      <c r="P111" t="s">
        <v>1309</v>
      </c>
      <c r="Q111" t="s">
        <v>1324</v>
      </c>
      <c r="R111" t="s">
        <v>1329</v>
      </c>
      <c r="S111" t="s">
        <v>1337</v>
      </c>
      <c r="T111" t="s">
        <v>1334</v>
      </c>
      <c r="W111" t="s">
        <v>1366</v>
      </c>
      <c r="Y111" t="s">
        <v>1361</v>
      </c>
      <c r="AA111">
        <v>0</v>
      </c>
      <c r="AB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s="1">
        <f>HYPERLINK("https://lsnyc.legalserver.org/matter/dynamic-profile/view/1889862","19-1889862")</f>
        <v>0</v>
      </c>
      <c r="B112" t="s">
        <v>33</v>
      </c>
      <c r="C112" t="s">
        <v>63</v>
      </c>
      <c r="D112" t="s">
        <v>177</v>
      </c>
      <c r="E112" t="s">
        <v>705</v>
      </c>
      <c r="F112">
        <v>5437</v>
      </c>
      <c r="G112" t="s">
        <v>1202</v>
      </c>
      <c r="H112" t="s">
        <v>1202</v>
      </c>
      <c r="I112" t="s">
        <v>1299</v>
      </c>
      <c r="J112">
        <v>5</v>
      </c>
      <c r="K112">
        <v>2</v>
      </c>
      <c r="L112">
        <v>0</v>
      </c>
      <c r="N112">
        <v>60400</v>
      </c>
      <c r="O112">
        <v>10310</v>
      </c>
      <c r="P112" t="s">
        <v>1307</v>
      </c>
      <c r="Q112" t="s">
        <v>1317</v>
      </c>
      <c r="S112" t="s">
        <v>1334</v>
      </c>
      <c r="AA112">
        <v>0</v>
      </c>
      <c r="AB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s="1">
        <f>HYPERLINK("https://lsnyc.legalserver.org/matter/dynamic-profile/view/1892354","19-1892354")</f>
        <v>0</v>
      </c>
      <c r="B113" t="s">
        <v>33</v>
      </c>
      <c r="C113" t="s">
        <v>63</v>
      </c>
      <c r="D113" t="s">
        <v>178</v>
      </c>
      <c r="E113" t="s">
        <v>706</v>
      </c>
      <c r="F113">
        <v>5437</v>
      </c>
      <c r="G113" t="s">
        <v>1182</v>
      </c>
      <c r="I113" t="s">
        <v>1299</v>
      </c>
      <c r="J113">
        <v>1</v>
      </c>
      <c r="K113">
        <v>0</v>
      </c>
      <c r="L113">
        <v>0</v>
      </c>
      <c r="N113">
        <v>35820</v>
      </c>
      <c r="O113">
        <v>10310</v>
      </c>
      <c r="P113" t="s">
        <v>1307</v>
      </c>
      <c r="Q113" t="s">
        <v>1320</v>
      </c>
      <c r="S113" t="s">
        <v>1336</v>
      </c>
      <c r="AA113">
        <v>0</v>
      </c>
      <c r="AB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s="1">
        <f>HYPERLINK("https://lsnyc.legalserver.org/matter/dynamic-profile/view/1893900","19-1893900")</f>
        <v>0</v>
      </c>
      <c r="B114" t="s">
        <v>35</v>
      </c>
      <c r="C114" t="s">
        <v>40</v>
      </c>
      <c r="D114" t="s">
        <v>138</v>
      </c>
      <c r="E114" t="s">
        <v>707</v>
      </c>
      <c r="F114">
        <v>5553</v>
      </c>
      <c r="G114" t="s">
        <v>1204</v>
      </c>
      <c r="I114" t="s">
        <v>1299</v>
      </c>
      <c r="J114">
        <v>1</v>
      </c>
      <c r="K114">
        <v>0</v>
      </c>
      <c r="L114">
        <v>1</v>
      </c>
      <c r="M114" t="s">
        <v>1302</v>
      </c>
      <c r="N114">
        <v>29076</v>
      </c>
      <c r="O114">
        <v>11208</v>
      </c>
      <c r="P114" t="s">
        <v>1309</v>
      </c>
      <c r="Q114" t="s">
        <v>1315</v>
      </c>
      <c r="R114" t="s">
        <v>1321</v>
      </c>
      <c r="S114" t="s">
        <v>1337</v>
      </c>
      <c r="W114" t="s">
        <v>1366</v>
      </c>
      <c r="AA114">
        <v>0</v>
      </c>
      <c r="AB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s="1">
        <f>HYPERLINK("https://lsnyc.legalserver.org/matter/dynamic-profile/view/1893863","19-1893863")</f>
        <v>0</v>
      </c>
      <c r="B115" t="s">
        <v>33</v>
      </c>
      <c r="C115" t="s">
        <v>53</v>
      </c>
      <c r="D115" t="s">
        <v>179</v>
      </c>
      <c r="E115" t="s">
        <v>708</v>
      </c>
      <c r="F115">
        <v>5437</v>
      </c>
      <c r="G115" t="s">
        <v>1210</v>
      </c>
      <c r="I115" t="s">
        <v>1299</v>
      </c>
      <c r="J115">
        <v>5</v>
      </c>
      <c r="K115">
        <v>0</v>
      </c>
      <c r="L115">
        <v>0</v>
      </c>
      <c r="N115">
        <v>89000</v>
      </c>
      <c r="O115">
        <v>10309</v>
      </c>
      <c r="P115" t="s">
        <v>1307</v>
      </c>
      <c r="Q115" t="s">
        <v>1316</v>
      </c>
      <c r="S115" t="s">
        <v>1334</v>
      </c>
      <c r="W115" t="s">
        <v>1366</v>
      </c>
      <c r="AA115">
        <v>0</v>
      </c>
      <c r="AB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s="1">
        <f>HYPERLINK("https://lsnyc.legalserver.org/matter/dynamic-profile/view/1902960","19-1902960")</f>
        <v>0</v>
      </c>
      <c r="B116" t="s">
        <v>34</v>
      </c>
      <c r="C116" t="s">
        <v>64</v>
      </c>
      <c r="D116" t="s">
        <v>180</v>
      </c>
      <c r="E116" t="s">
        <v>709</v>
      </c>
      <c r="F116">
        <v>5442</v>
      </c>
      <c r="G116" t="s">
        <v>1225</v>
      </c>
      <c r="I116" t="s">
        <v>1299</v>
      </c>
      <c r="J116">
        <v>1</v>
      </c>
      <c r="K116">
        <v>0</v>
      </c>
      <c r="L116">
        <v>0</v>
      </c>
      <c r="M116" t="s">
        <v>1301</v>
      </c>
      <c r="N116">
        <v>26400</v>
      </c>
      <c r="O116">
        <v>11040</v>
      </c>
      <c r="P116" t="s">
        <v>1308</v>
      </c>
      <c r="Q116" t="s">
        <v>1314</v>
      </c>
      <c r="R116" t="s">
        <v>1317</v>
      </c>
      <c r="AA116">
        <v>0</v>
      </c>
      <c r="AB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s="1">
        <f>HYPERLINK("https://lsnyc.legalserver.org/matter/dynamic-profile/view/1904496","19-1904496")</f>
        <v>0</v>
      </c>
      <c r="B117" t="s">
        <v>34</v>
      </c>
      <c r="C117" t="s">
        <v>65</v>
      </c>
      <c r="D117" t="s">
        <v>181</v>
      </c>
      <c r="E117" t="s">
        <v>693</v>
      </c>
      <c r="F117">
        <v>5442</v>
      </c>
      <c r="I117" t="s">
        <v>1299</v>
      </c>
      <c r="J117">
        <v>3</v>
      </c>
      <c r="K117">
        <v>0</v>
      </c>
      <c r="L117">
        <v>0</v>
      </c>
      <c r="N117">
        <v>55800</v>
      </c>
      <c r="O117">
        <v>11420</v>
      </c>
      <c r="P117" t="s">
        <v>1308</v>
      </c>
      <c r="AA117">
        <v>0</v>
      </c>
      <c r="AB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s="1">
        <f>HYPERLINK("https://lsnyc.legalserver.org/matter/dynamic-profile/view/1908032","19-1908032")</f>
        <v>0</v>
      </c>
      <c r="B118" t="s">
        <v>33</v>
      </c>
      <c r="C118" t="s">
        <v>63</v>
      </c>
      <c r="D118" t="s">
        <v>182</v>
      </c>
      <c r="E118" t="s">
        <v>80</v>
      </c>
      <c r="F118">
        <v>5437</v>
      </c>
      <c r="I118" t="s">
        <v>1299</v>
      </c>
      <c r="J118">
        <v>2</v>
      </c>
      <c r="K118">
        <v>3</v>
      </c>
      <c r="L118">
        <v>0</v>
      </c>
      <c r="N118">
        <v>71000</v>
      </c>
      <c r="O118">
        <v>10303</v>
      </c>
      <c r="P118" t="s">
        <v>1307</v>
      </c>
      <c r="Q118" t="s">
        <v>1314</v>
      </c>
      <c r="R118" t="s">
        <v>1330</v>
      </c>
      <c r="S118" t="s">
        <v>1334</v>
      </c>
      <c r="AA118">
        <v>0</v>
      </c>
      <c r="AB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s="1">
        <f>HYPERLINK("https://lsnyc.legalserver.org/matter/dynamic-profile/view/1909914","19-1909914")</f>
        <v>0</v>
      </c>
      <c r="B119" t="s">
        <v>33</v>
      </c>
      <c r="C119" t="s">
        <v>56</v>
      </c>
      <c r="D119" t="s">
        <v>183</v>
      </c>
      <c r="E119" t="s">
        <v>710</v>
      </c>
      <c r="F119">
        <v>5437</v>
      </c>
      <c r="G119" t="s">
        <v>1185</v>
      </c>
      <c r="I119" t="s">
        <v>1299</v>
      </c>
      <c r="J119">
        <v>2</v>
      </c>
      <c r="K119">
        <v>1</v>
      </c>
      <c r="L119">
        <v>0</v>
      </c>
      <c r="M119" t="s">
        <v>1302</v>
      </c>
      <c r="N119">
        <v>51600</v>
      </c>
      <c r="O119">
        <v>10314</v>
      </c>
      <c r="P119" t="s">
        <v>1307</v>
      </c>
      <c r="Q119" t="s">
        <v>1314</v>
      </c>
      <c r="R119" t="s">
        <v>1315</v>
      </c>
      <c r="S119" t="s">
        <v>1332</v>
      </c>
      <c r="T119" t="s">
        <v>1336</v>
      </c>
      <c r="AA119">
        <v>0</v>
      </c>
      <c r="AB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s="1">
        <f>HYPERLINK("https://lsnyc.legalserver.org/matter/dynamic-profile/view/1912276","19-1912276")</f>
        <v>0</v>
      </c>
      <c r="B120" t="s">
        <v>36</v>
      </c>
      <c r="C120" t="s">
        <v>46</v>
      </c>
      <c r="D120" t="s">
        <v>184</v>
      </c>
      <c r="E120" t="s">
        <v>711</v>
      </c>
      <c r="F120">
        <v>5440</v>
      </c>
      <c r="G120" t="s">
        <v>1226</v>
      </c>
      <c r="I120" t="s">
        <v>1299</v>
      </c>
      <c r="J120">
        <v>1</v>
      </c>
      <c r="K120">
        <v>0</v>
      </c>
      <c r="L120">
        <v>0</v>
      </c>
      <c r="M120" t="s">
        <v>1301</v>
      </c>
      <c r="N120">
        <v>7000</v>
      </c>
      <c r="O120">
        <v>10465</v>
      </c>
      <c r="P120" t="s">
        <v>1310</v>
      </c>
      <c r="Q120" t="s">
        <v>1315</v>
      </c>
      <c r="R120" t="s">
        <v>1314</v>
      </c>
      <c r="S120" t="s">
        <v>1337</v>
      </c>
      <c r="W120" t="s">
        <v>1366</v>
      </c>
      <c r="AA120">
        <v>0</v>
      </c>
      <c r="AB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s="1">
        <f>HYPERLINK("https://lsnyc.legalserver.org/matter/dynamic-profile/view/1915879","19-1915879")</f>
        <v>0</v>
      </c>
      <c r="B121" t="s">
        <v>36</v>
      </c>
      <c r="C121" t="s">
        <v>46</v>
      </c>
      <c r="D121" t="s">
        <v>185</v>
      </c>
      <c r="E121" t="s">
        <v>712</v>
      </c>
      <c r="F121">
        <v>5440</v>
      </c>
      <c r="G121" t="s">
        <v>1191</v>
      </c>
      <c r="I121" t="s">
        <v>1299</v>
      </c>
      <c r="J121">
        <v>2</v>
      </c>
      <c r="K121">
        <v>1</v>
      </c>
      <c r="L121">
        <v>0</v>
      </c>
      <c r="M121" t="s">
        <v>1304</v>
      </c>
      <c r="N121">
        <v>103644</v>
      </c>
      <c r="O121">
        <v>10452</v>
      </c>
      <c r="P121" t="s">
        <v>1310</v>
      </c>
      <c r="Q121" t="s">
        <v>1321</v>
      </c>
      <c r="AA121">
        <v>0</v>
      </c>
      <c r="AB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s="1">
        <f>HYPERLINK("https://lsnyc.legalserver.org/matter/dynamic-profile/view/1917070","19-1917070")</f>
        <v>0</v>
      </c>
      <c r="B122" t="s">
        <v>36</v>
      </c>
      <c r="C122" t="s">
        <v>46</v>
      </c>
      <c r="D122" t="s">
        <v>186</v>
      </c>
      <c r="E122" t="s">
        <v>713</v>
      </c>
      <c r="F122">
        <v>5440</v>
      </c>
      <c r="G122" t="s">
        <v>1227</v>
      </c>
      <c r="I122" t="s">
        <v>1299</v>
      </c>
      <c r="J122">
        <v>2</v>
      </c>
      <c r="K122">
        <v>2</v>
      </c>
      <c r="L122">
        <v>0</v>
      </c>
      <c r="M122" t="s">
        <v>1303</v>
      </c>
      <c r="N122">
        <v>68744</v>
      </c>
      <c r="O122">
        <v>10473</v>
      </c>
      <c r="P122" t="s">
        <v>1310</v>
      </c>
      <c r="Q122" t="s">
        <v>1316</v>
      </c>
      <c r="S122" t="s">
        <v>1337</v>
      </c>
      <c r="W122" t="s">
        <v>1366</v>
      </c>
      <c r="AA122">
        <v>0</v>
      </c>
      <c r="AB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s="1">
        <f>HYPERLINK("https://lsnyc.legalserver.org/matter/dynamic-profile/view/1884154","18-1884154")</f>
        <v>0</v>
      </c>
      <c r="B123" t="s">
        <v>35</v>
      </c>
      <c r="C123" t="s">
        <v>40</v>
      </c>
      <c r="D123" t="s">
        <v>187</v>
      </c>
      <c r="E123" t="s">
        <v>714</v>
      </c>
      <c r="F123">
        <v>5553</v>
      </c>
      <c r="G123" t="s">
        <v>1209</v>
      </c>
      <c r="I123" t="s">
        <v>1300</v>
      </c>
      <c r="J123">
        <v>2</v>
      </c>
      <c r="K123">
        <v>0</v>
      </c>
      <c r="L123">
        <v>2</v>
      </c>
      <c r="M123" t="s">
        <v>1302</v>
      </c>
      <c r="N123">
        <v>22000</v>
      </c>
      <c r="O123">
        <v>11219</v>
      </c>
      <c r="P123" t="s">
        <v>1309</v>
      </c>
      <c r="Q123" t="s">
        <v>1326</v>
      </c>
      <c r="S123" t="s">
        <v>1337</v>
      </c>
      <c r="W123" t="s">
        <v>1366</v>
      </c>
      <c r="AA123">
        <v>0</v>
      </c>
      <c r="AB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s="1">
        <f>HYPERLINK("https://lsnyc.legalserver.org/matter/dynamic-profile/view/1900168","19-1900168")</f>
        <v>0</v>
      </c>
      <c r="B124" t="s">
        <v>35</v>
      </c>
      <c r="C124" t="s">
        <v>43</v>
      </c>
      <c r="D124" t="s">
        <v>188</v>
      </c>
      <c r="E124" t="s">
        <v>715</v>
      </c>
      <c r="F124">
        <v>5553</v>
      </c>
      <c r="I124" t="s">
        <v>1300</v>
      </c>
      <c r="J124">
        <v>1</v>
      </c>
      <c r="K124">
        <v>0</v>
      </c>
      <c r="L124">
        <v>0</v>
      </c>
      <c r="N124">
        <v>10200</v>
      </c>
      <c r="O124">
        <v>11204</v>
      </c>
      <c r="P124" t="s">
        <v>1309</v>
      </c>
      <c r="Q124" t="s">
        <v>1319</v>
      </c>
      <c r="R124" t="s">
        <v>1322</v>
      </c>
      <c r="S124" t="s">
        <v>1342</v>
      </c>
      <c r="AA124">
        <v>0</v>
      </c>
      <c r="AB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s="1">
        <f>HYPERLINK("https://lsnyc.legalserver.org/matter/dynamic-profile/view/1862786","18-1862786")</f>
        <v>0</v>
      </c>
      <c r="B125" t="s">
        <v>33</v>
      </c>
      <c r="C125" t="s">
        <v>53</v>
      </c>
      <c r="D125" t="s">
        <v>189</v>
      </c>
      <c r="E125" t="s">
        <v>716</v>
      </c>
      <c r="F125">
        <v>5437</v>
      </c>
      <c r="G125" t="s">
        <v>1225</v>
      </c>
      <c r="I125" t="s">
        <v>1300</v>
      </c>
      <c r="J125">
        <v>3</v>
      </c>
      <c r="K125">
        <v>1</v>
      </c>
      <c r="L125">
        <v>0</v>
      </c>
      <c r="N125">
        <v>106638.8</v>
      </c>
      <c r="O125">
        <v>10312</v>
      </c>
      <c r="P125" t="s">
        <v>1307</v>
      </c>
      <c r="Q125" t="s">
        <v>1318</v>
      </c>
      <c r="S125" t="s">
        <v>1334</v>
      </c>
      <c r="T125" t="s">
        <v>1337</v>
      </c>
      <c r="W125" t="s">
        <v>1376</v>
      </c>
      <c r="Y125" t="s">
        <v>1366</v>
      </c>
      <c r="AA125">
        <v>0</v>
      </c>
      <c r="AB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s="1">
        <f>HYPERLINK("https://lsnyc.legalserver.org/matter/dynamic-profile/view/1893457","19-1893457")</f>
        <v>0</v>
      </c>
      <c r="B126" t="s">
        <v>33</v>
      </c>
      <c r="C126" t="s">
        <v>66</v>
      </c>
      <c r="D126" t="s">
        <v>143</v>
      </c>
      <c r="E126" t="s">
        <v>717</v>
      </c>
      <c r="F126">
        <v>5437</v>
      </c>
      <c r="G126" t="s">
        <v>1207</v>
      </c>
      <c r="I126" t="s">
        <v>1300</v>
      </c>
      <c r="J126">
        <v>2</v>
      </c>
      <c r="K126">
        <v>0</v>
      </c>
      <c r="L126">
        <v>0</v>
      </c>
      <c r="N126">
        <v>60000</v>
      </c>
      <c r="O126">
        <v>10314</v>
      </c>
      <c r="P126" t="s">
        <v>1307</v>
      </c>
      <c r="Q126" t="s">
        <v>1327</v>
      </c>
      <c r="R126" t="s">
        <v>1320</v>
      </c>
      <c r="S126" t="s">
        <v>1336</v>
      </c>
      <c r="W126" t="s">
        <v>1366</v>
      </c>
      <c r="AA126">
        <v>0</v>
      </c>
      <c r="AB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s="1">
        <f>HYPERLINK("https://lsnyc.legalserver.org/matter/dynamic-profile/view/1841041","17-1841041")</f>
        <v>0</v>
      </c>
      <c r="B127" t="s">
        <v>34</v>
      </c>
      <c r="C127" t="s">
        <v>47</v>
      </c>
      <c r="D127" t="s">
        <v>190</v>
      </c>
      <c r="E127" t="s">
        <v>718</v>
      </c>
      <c r="F127">
        <v>5442</v>
      </c>
      <c r="G127" t="s">
        <v>1205</v>
      </c>
      <c r="I127" t="s">
        <v>1300</v>
      </c>
      <c r="J127">
        <v>1</v>
      </c>
      <c r="K127">
        <v>0</v>
      </c>
      <c r="L127">
        <v>1</v>
      </c>
      <c r="M127" t="s">
        <v>1304</v>
      </c>
      <c r="N127">
        <v>57360</v>
      </c>
      <c r="O127">
        <v>11694</v>
      </c>
      <c r="P127" t="s">
        <v>1308</v>
      </c>
      <c r="Q127" t="s">
        <v>1324</v>
      </c>
      <c r="S127" t="s">
        <v>1333</v>
      </c>
      <c r="T127" t="s">
        <v>1332</v>
      </c>
      <c r="W127" t="s">
        <v>1365</v>
      </c>
      <c r="Y127" t="s">
        <v>1366</v>
      </c>
      <c r="AA127">
        <v>0</v>
      </c>
      <c r="AB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s="1">
        <f>HYPERLINK("https://lsnyc.legalserver.org/matter/dynamic-profile/view/1871809","18-1871809")</f>
        <v>0</v>
      </c>
      <c r="B128" t="s">
        <v>35</v>
      </c>
      <c r="C128" t="s">
        <v>61</v>
      </c>
      <c r="D128" t="s">
        <v>191</v>
      </c>
      <c r="E128" t="s">
        <v>719</v>
      </c>
      <c r="F128">
        <v>5553</v>
      </c>
      <c r="G128" t="s">
        <v>1188</v>
      </c>
      <c r="I128" t="s">
        <v>1300</v>
      </c>
      <c r="J128">
        <v>2</v>
      </c>
      <c r="K128">
        <v>0</v>
      </c>
      <c r="L128">
        <v>1</v>
      </c>
      <c r="M128" t="s">
        <v>1302</v>
      </c>
      <c r="N128">
        <v>14400</v>
      </c>
      <c r="O128">
        <v>11230</v>
      </c>
      <c r="P128" t="s">
        <v>1309</v>
      </c>
      <c r="Q128" t="s">
        <v>1317</v>
      </c>
      <c r="R128" t="s">
        <v>1319</v>
      </c>
      <c r="S128" t="s">
        <v>1332</v>
      </c>
      <c r="T128" t="s">
        <v>1336</v>
      </c>
      <c r="W128" t="s">
        <v>1361</v>
      </c>
      <c r="Y128" t="s">
        <v>1366</v>
      </c>
      <c r="AA128">
        <v>0</v>
      </c>
      <c r="AB128">
        <v>0</v>
      </c>
      <c r="AD128">
        <v>0</v>
      </c>
      <c r="AE128">
        <v>0</v>
      </c>
      <c r="AF128">
        <v>0</v>
      </c>
      <c r="AG128">
        <v>0</v>
      </c>
    </row>
    <row r="129" spans="1:33">
      <c r="A129" s="1">
        <f>HYPERLINK("https://lsnyc.legalserver.org/matter/dynamic-profile/view/1869194","18-1869194")</f>
        <v>0</v>
      </c>
      <c r="B129" t="s">
        <v>33</v>
      </c>
      <c r="C129" t="s">
        <v>63</v>
      </c>
      <c r="D129" t="s">
        <v>192</v>
      </c>
      <c r="E129" t="s">
        <v>720</v>
      </c>
      <c r="F129">
        <v>5437</v>
      </c>
      <c r="G129" t="s">
        <v>1208</v>
      </c>
      <c r="H129" t="s">
        <v>1200</v>
      </c>
      <c r="I129" t="s">
        <v>1300</v>
      </c>
      <c r="J129">
        <v>2</v>
      </c>
      <c r="K129">
        <v>1</v>
      </c>
      <c r="L129">
        <v>0</v>
      </c>
      <c r="N129">
        <v>54000</v>
      </c>
      <c r="O129">
        <v>10309</v>
      </c>
      <c r="P129" t="s">
        <v>1307</v>
      </c>
      <c r="Q129" t="s">
        <v>1325</v>
      </c>
      <c r="S129" t="s">
        <v>1333</v>
      </c>
      <c r="T129" t="s">
        <v>1334</v>
      </c>
      <c r="W129" t="s">
        <v>1377</v>
      </c>
      <c r="X129" t="s">
        <v>1364</v>
      </c>
      <c r="Z129" t="s">
        <v>1378</v>
      </c>
      <c r="AA129">
        <v>0</v>
      </c>
      <c r="AB129">
        <v>0</v>
      </c>
      <c r="AC129">
        <v>73231.58</v>
      </c>
      <c r="AD129">
        <v>0</v>
      </c>
      <c r="AE129">
        <v>0</v>
      </c>
      <c r="AF129">
        <v>0</v>
      </c>
      <c r="AG129">
        <v>0</v>
      </c>
    </row>
    <row r="130" spans="1:33">
      <c r="A130" s="1">
        <f>HYPERLINK("https://lsnyc.legalserver.org/matter/dynamic-profile/view/1884742","18-1884742")</f>
        <v>0</v>
      </c>
      <c r="B130" t="s">
        <v>33</v>
      </c>
      <c r="C130" t="s">
        <v>63</v>
      </c>
      <c r="D130" t="s">
        <v>193</v>
      </c>
      <c r="E130" t="s">
        <v>721</v>
      </c>
      <c r="F130">
        <v>5437</v>
      </c>
      <c r="G130" t="s">
        <v>1228</v>
      </c>
      <c r="H130" t="s">
        <v>1178</v>
      </c>
      <c r="I130" t="s">
        <v>1300</v>
      </c>
      <c r="J130">
        <v>2</v>
      </c>
      <c r="K130">
        <v>0</v>
      </c>
      <c r="L130">
        <v>0</v>
      </c>
      <c r="M130" t="s">
        <v>1301</v>
      </c>
      <c r="N130">
        <v>43536</v>
      </c>
      <c r="O130">
        <v>10312</v>
      </c>
      <c r="P130" t="s">
        <v>1307</v>
      </c>
      <c r="Q130" t="s">
        <v>1315</v>
      </c>
      <c r="R130" t="s">
        <v>1314</v>
      </c>
      <c r="S130" t="s">
        <v>1334</v>
      </c>
      <c r="V130" t="s">
        <v>1356</v>
      </c>
      <c r="W130" t="s">
        <v>1364</v>
      </c>
      <c r="X130" t="s">
        <v>1370</v>
      </c>
      <c r="Y130" t="s">
        <v>1385</v>
      </c>
      <c r="Z130" t="s">
        <v>1385</v>
      </c>
      <c r="AA130">
        <v>0</v>
      </c>
      <c r="AB130">
        <v>0</v>
      </c>
      <c r="AC130">
        <v>65000</v>
      </c>
      <c r="AD130">
        <v>0</v>
      </c>
      <c r="AE130">
        <v>0</v>
      </c>
      <c r="AF130">
        <v>0</v>
      </c>
      <c r="AG130">
        <v>0</v>
      </c>
    </row>
    <row r="131" spans="1:33">
      <c r="A131" s="1">
        <f>HYPERLINK("https://lsnyc.legalserver.org/matter/dynamic-profile/view/1909037","19-1909037")</f>
        <v>0</v>
      </c>
      <c r="B131" t="s">
        <v>33</v>
      </c>
      <c r="C131" t="s">
        <v>53</v>
      </c>
      <c r="D131" t="s">
        <v>194</v>
      </c>
      <c r="E131" t="s">
        <v>722</v>
      </c>
      <c r="F131">
        <v>5437</v>
      </c>
      <c r="G131" t="s">
        <v>1192</v>
      </c>
      <c r="H131" t="s">
        <v>1214</v>
      </c>
      <c r="I131" t="s">
        <v>1300</v>
      </c>
      <c r="J131">
        <v>1</v>
      </c>
      <c r="K131">
        <v>3</v>
      </c>
      <c r="L131">
        <v>0</v>
      </c>
      <c r="N131">
        <v>52344</v>
      </c>
      <c r="O131">
        <v>10312</v>
      </c>
      <c r="P131" t="s">
        <v>1307</v>
      </c>
      <c r="Q131" t="s">
        <v>1325</v>
      </c>
      <c r="S131" t="s">
        <v>1336</v>
      </c>
      <c r="W131" t="s">
        <v>1366</v>
      </c>
      <c r="AA131">
        <v>0</v>
      </c>
      <c r="AB131">
        <v>0</v>
      </c>
      <c r="AD131">
        <v>0</v>
      </c>
      <c r="AE131">
        <v>0</v>
      </c>
      <c r="AF131">
        <v>0</v>
      </c>
      <c r="AG131">
        <v>0</v>
      </c>
    </row>
    <row r="132" spans="1:33">
      <c r="A132" s="1">
        <f>HYPERLINK("https://lsnyc.legalserver.org/matter/dynamic-profile/view/1896254","19-1896254")</f>
        <v>0</v>
      </c>
      <c r="B132" t="s">
        <v>33</v>
      </c>
      <c r="C132" t="s">
        <v>38</v>
      </c>
      <c r="D132" t="s">
        <v>195</v>
      </c>
      <c r="E132" t="s">
        <v>723</v>
      </c>
      <c r="F132">
        <v>5437</v>
      </c>
      <c r="G132" t="s">
        <v>1204</v>
      </c>
      <c r="I132" t="s">
        <v>1300</v>
      </c>
      <c r="J132">
        <v>2</v>
      </c>
      <c r="K132">
        <v>0</v>
      </c>
      <c r="L132">
        <v>0</v>
      </c>
      <c r="N132">
        <v>18941.4</v>
      </c>
      <c r="O132">
        <v>10306</v>
      </c>
      <c r="P132" t="s">
        <v>1307</v>
      </c>
      <c r="Q132" t="s">
        <v>1319</v>
      </c>
      <c r="S132" t="s">
        <v>1336</v>
      </c>
      <c r="W132" t="s">
        <v>1366</v>
      </c>
      <c r="AA132">
        <v>0</v>
      </c>
      <c r="AB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s="1">
        <f>HYPERLINK("https://lsnyc.legalserver.org/matter/dynamic-profile/view/1882129","18-1882129")</f>
        <v>0</v>
      </c>
      <c r="B133" t="s">
        <v>33</v>
      </c>
      <c r="C133" t="s">
        <v>63</v>
      </c>
      <c r="D133" t="s">
        <v>196</v>
      </c>
      <c r="E133" t="s">
        <v>724</v>
      </c>
      <c r="F133">
        <v>5437</v>
      </c>
      <c r="G133" t="s">
        <v>1213</v>
      </c>
      <c r="H133" t="s">
        <v>1178</v>
      </c>
      <c r="I133" t="s">
        <v>1300</v>
      </c>
      <c r="J133">
        <v>2</v>
      </c>
      <c r="K133">
        <v>3</v>
      </c>
      <c r="L133">
        <v>0</v>
      </c>
      <c r="N133">
        <v>64000</v>
      </c>
      <c r="O133">
        <v>10306</v>
      </c>
      <c r="P133" t="s">
        <v>1307</v>
      </c>
      <c r="Q133" t="s">
        <v>1314</v>
      </c>
      <c r="S133" t="s">
        <v>1334</v>
      </c>
      <c r="W133" t="s">
        <v>1378</v>
      </c>
      <c r="X133" t="s">
        <v>1364</v>
      </c>
      <c r="Y133" t="s">
        <v>1370</v>
      </c>
      <c r="AA133">
        <v>0</v>
      </c>
      <c r="AB133">
        <v>0</v>
      </c>
      <c r="AC133" t="s">
        <v>1398</v>
      </c>
      <c r="AD133">
        <v>0</v>
      </c>
      <c r="AE133">
        <v>0</v>
      </c>
      <c r="AF133">
        <v>0</v>
      </c>
      <c r="AG133">
        <v>0</v>
      </c>
    </row>
    <row r="134" spans="1:33">
      <c r="A134" s="1">
        <f>HYPERLINK("https://lsnyc.legalserver.org/matter/dynamic-profile/view/1858106","18-1858106")</f>
        <v>0</v>
      </c>
      <c r="B134" t="s">
        <v>33</v>
      </c>
      <c r="C134" t="s">
        <v>38</v>
      </c>
      <c r="D134" t="s">
        <v>197</v>
      </c>
      <c r="E134" t="s">
        <v>725</v>
      </c>
      <c r="F134">
        <v>5437</v>
      </c>
      <c r="G134" t="s">
        <v>1180</v>
      </c>
      <c r="I134" t="s">
        <v>1300</v>
      </c>
      <c r="J134">
        <v>3</v>
      </c>
      <c r="K134">
        <v>1</v>
      </c>
      <c r="L134">
        <v>2</v>
      </c>
      <c r="M134" t="s">
        <v>1301</v>
      </c>
      <c r="N134">
        <v>33600</v>
      </c>
      <c r="O134">
        <v>10306</v>
      </c>
      <c r="P134" t="s">
        <v>1307</v>
      </c>
      <c r="Q134" t="s">
        <v>1324</v>
      </c>
      <c r="R134" t="s">
        <v>1331</v>
      </c>
      <c r="S134" t="s">
        <v>1333</v>
      </c>
      <c r="T134" t="s">
        <v>1334</v>
      </c>
      <c r="W134" t="s">
        <v>1370</v>
      </c>
      <c r="Y134" t="s">
        <v>1378</v>
      </c>
      <c r="AA134">
        <v>0</v>
      </c>
      <c r="AB134">
        <v>0</v>
      </c>
      <c r="AC134">
        <v>28262.09</v>
      </c>
      <c r="AD134">
        <v>0</v>
      </c>
      <c r="AE134">
        <v>0</v>
      </c>
      <c r="AF134">
        <v>0</v>
      </c>
      <c r="AG134">
        <v>0</v>
      </c>
    </row>
    <row r="135" spans="1:33">
      <c r="A135" s="1">
        <f>HYPERLINK("https://lsnyc.legalserver.org/matter/dynamic-profile/view/1884632","18-1884632")</f>
        <v>0</v>
      </c>
      <c r="B135" t="s">
        <v>33</v>
      </c>
      <c r="C135" t="s">
        <v>53</v>
      </c>
      <c r="D135" t="s">
        <v>198</v>
      </c>
      <c r="E135" t="s">
        <v>726</v>
      </c>
      <c r="F135">
        <v>5437</v>
      </c>
      <c r="G135" t="s">
        <v>1192</v>
      </c>
      <c r="I135" t="s">
        <v>1300</v>
      </c>
      <c r="J135">
        <v>2</v>
      </c>
      <c r="K135">
        <v>0</v>
      </c>
      <c r="L135">
        <v>0</v>
      </c>
      <c r="N135">
        <v>42000</v>
      </c>
      <c r="O135">
        <v>10303</v>
      </c>
      <c r="P135" t="s">
        <v>1307</v>
      </c>
      <c r="Q135" t="s">
        <v>1325</v>
      </c>
      <c r="S135" t="s">
        <v>1338</v>
      </c>
      <c r="T135" t="s">
        <v>1332</v>
      </c>
      <c r="W135" t="s">
        <v>1364</v>
      </c>
      <c r="Y135" t="s">
        <v>1361</v>
      </c>
      <c r="AA135">
        <v>0</v>
      </c>
      <c r="AB135">
        <v>0</v>
      </c>
      <c r="AD135">
        <v>0</v>
      </c>
      <c r="AE135">
        <v>0</v>
      </c>
      <c r="AF135">
        <v>0</v>
      </c>
      <c r="AG135">
        <v>0</v>
      </c>
    </row>
    <row r="136" spans="1:33">
      <c r="A136" s="1">
        <f>HYPERLINK("https://lsnyc.legalserver.org/matter/dynamic-profile/view/1861960","18-1861960")</f>
        <v>0</v>
      </c>
      <c r="B136" t="s">
        <v>33</v>
      </c>
      <c r="C136" t="s">
        <v>56</v>
      </c>
      <c r="D136" t="s">
        <v>199</v>
      </c>
      <c r="E136" t="s">
        <v>727</v>
      </c>
      <c r="F136">
        <v>5437</v>
      </c>
      <c r="G136" t="s">
        <v>1182</v>
      </c>
      <c r="I136" t="s">
        <v>1300</v>
      </c>
      <c r="J136">
        <v>3</v>
      </c>
      <c r="K136">
        <v>0</v>
      </c>
      <c r="L136">
        <v>0</v>
      </c>
      <c r="M136" t="s">
        <v>1302</v>
      </c>
      <c r="N136">
        <v>27816</v>
      </c>
      <c r="O136">
        <v>10302</v>
      </c>
      <c r="P136" t="s">
        <v>1307</v>
      </c>
      <c r="Q136" t="s">
        <v>1319</v>
      </c>
      <c r="S136" t="s">
        <v>1333</v>
      </c>
      <c r="T136" t="s">
        <v>1332</v>
      </c>
      <c r="W136" t="s">
        <v>1366</v>
      </c>
      <c r="Y136" t="s">
        <v>1372</v>
      </c>
      <c r="AA136">
        <v>0</v>
      </c>
      <c r="AB136">
        <v>0</v>
      </c>
      <c r="AD136">
        <v>0</v>
      </c>
      <c r="AE136">
        <v>0</v>
      </c>
      <c r="AF136">
        <v>0</v>
      </c>
      <c r="AG136">
        <v>0</v>
      </c>
    </row>
    <row r="137" spans="1:33">
      <c r="A137" s="1">
        <f>HYPERLINK("https://lsnyc.legalserver.org/matter/dynamic-profile/view/1892300","19-1892300")</f>
        <v>0</v>
      </c>
      <c r="B137" t="s">
        <v>33</v>
      </c>
      <c r="C137" t="s">
        <v>53</v>
      </c>
      <c r="D137" t="s">
        <v>100</v>
      </c>
      <c r="E137" t="s">
        <v>728</v>
      </c>
      <c r="F137">
        <v>5437</v>
      </c>
      <c r="G137" t="s">
        <v>1212</v>
      </c>
      <c r="I137" t="s">
        <v>1300</v>
      </c>
      <c r="J137">
        <v>3</v>
      </c>
      <c r="K137">
        <v>3</v>
      </c>
      <c r="L137">
        <v>0</v>
      </c>
      <c r="N137">
        <v>94552</v>
      </c>
      <c r="O137">
        <v>10309</v>
      </c>
      <c r="P137" t="s">
        <v>1307</v>
      </c>
      <c r="Q137" t="s">
        <v>1324</v>
      </c>
      <c r="S137" t="s">
        <v>1343</v>
      </c>
      <c r="W137" t="s">
        <v>1379</v>
      </c>
      <c r="AA137">
        <v>0</v>
      </c>
      <c r="AB137">
        <v>0</v>
      </c>
      <c r="AD137">
        <v>0</v>
      </c>
      <c r="AE137">
        <v>0</v>
      </c>
      <c r="AF137">
        <v>0</v>
      </c>
      <c r="AG137">
        <v>0</v>
      </c>
    </row>
    <row r="138" spans="1:33">
      <c r="A138" s="1">
        <f>HYPERLINK("https://lsnyc.legalserver.org/matter/dynamic-profile/view/1852713","17-1852713")</f>
        <v>0</v>
      </c>
      <c r="B138" t="s">
        <v>33</v>
      </c>
      <c r="C138" t="s">
        <v>53</v>
      </c>
      <c r="D138" t="s">
        <v>200</v>
      </c>
      <c r="E138" t="s">
        <v>729</v>
      </c>
      <c r="F138">
        <v>5437</v>
      </c>
      <c r="G138" t="s">
        <v>1193</v>
      </c>
      <c r="I138" t="s">
        <v>1300</v>
      </c>
      <c r="J138">
        <v>2</v>
      </c>
      <c r="K138">
        <v>0</v>
      </c>
      <c r="L138">
        <v>0</v>
      </c>
      <c r="M138" t="s">
        <v>1301</v>
      </c>
      <c r="N138">
        <v>48000</v>
      </c>
      <c r="O138">
        <v>10306</v>
      </c>
      <c r="P138" t="s">
        <v>1307</v>
      </c>
      <c r="Q138" t="s">
        <v>1327</v>
      </c>
      <c r="R138" t="s">
        <v>1316</v>
      </c>
      <c r="S138" t="s">
        <v>1333</v>
      </c>
      <c r="T138" t="s">
        <v>1340</v>
      </c>
      <c r="W138" t="s">
        <v>1361</v>
      </c>
      <c r="Y138" t="s">
        <v>1366</v>
      </c>
      <c r="AA138">
        <v>0</v>
      </c>
      <c r="AB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s="1">
        <f>HYPERLINK("https://lsnyc.legalserver.org/matter/dynamic-profile/view/1853684","17-1853684")</f>
        <v>0</v>
      </c>
      <c r="B139" t="s">
        <v>33</v>
      </c>
      <c r="C139" t="s">
        <v>56</v>
      </c>
      <c r="D139" t="s">
        <v>84</v>
      </c>
      <c r="E139" t="s">
        <v>730</v>
      </c>
      <c r="F139">
        <v>5437</v>
      </c>
      <c r="G139" t="s">
        <v>1199</v>
      </c>
      <c r="I139" t="s">
        <v>1300</v>
      </c>
      <c r="J139">
        <v>3</v>
      </c>
      <c r="K139">
        <v>4</v>
      </c>
      <c r="L139">
        <v>0</v>
      </c>
      <c r="M139" t="s">
        <v>1301</v>
      </c>
      <c r="N139">
        <v>135568</v>
      </c>
      <c r="O139">
        <v>10303</v>
      </c>
      <c r="P139" t="s">
        <v>1307</v>
      </c>
      <c r="Q139" t="s">
        <v>1315</v>
      </c>
      <c r="S139" t="s">
        <v>1334</v>
      </c>
      <c r="W139" t="s">
        <v>1366</v>
      </c>
      <c r="AA139">
        <v>0</v>
      </c>
      <c r="AB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s="1">
        <f>HYPERLINK("https://lsnyc.legalserver.org/matter/dynamic-profile/view/1863278","18-1863278")</f>
        <v>0</v>
      </c>
      <c r="B140" t="s">
        <v>33</v>
      </c>
      <c r="C140" t="s">
        <v>53</v>
      </c>
      <c r="D140" t="s">
        <v>201</v>
      </c>
      <c r="E140" t="s">
        <v>731</v>
      </c>
      <c r="F140">
        <v>5437</v>
      </c>
      <c r="G140" t="s">
        <v>1182</v>
      </c>
      <c r="I140" t="s">
        <v>1300</v>
      </c>
      <c r="J140">
        <v>2</v>
      </c>
      <c r="K140">
        <v>3</v>
      </c>
      <c r="L140">
        <v>0</v>
      </c>
      <c r="M140" t="s">
        <v>1302</v>
      </c>
      <c r="N140">
        <v>115000</v>
      </c>
      <c r="O140">
        <v>10314</v>
      </c>
      <c r="P140" t="s">
        <v>1307</v>
      </c>
      <c r="Q140" t="s">
        <v>1314</v>
      </c>
      <c r="S140" t="s">
        <v>1340</v>
      </c>
      <c r="U140" t="s">
        <v>1352</v>
      </c>
      <c r="W140" t="s">
        <v>1360</v>
      </c>
      <c r="Y140" t="s">
        <v>1366</v>
      </c>
      <c r="AA140">
        <v>1876.21</v>
      </c>
      <c r="AB140">
        <v>0</v>
      </c>
      <c r="AD140">
        <v>0</v>
      </c>
      <c r="AE140">
        <v>0</v>
      </c>
      <c r="AF140">
        <v>0</v>
      </c>
      <c r="AG140">
        <v>0</v>
      </c>
    </row>
    <row r="141" spans="1:33">
      <c r="A141" s="1">
        <f>HYPERLINK("https://lsnyc.legalserver.org/matter/dynamic-profile/view/1864040","18-1864040")</f>
        <v>0</v>
      </c>
      <c r="B141" t="s">
        <v>33</v>
      </c>
      <c r="C141" t="s">
        <v>63</v>
      </c>
      <c r="D141" t="s">
        <v>202</v>
      </c>
      <c r="E141" t="s">
        <v>732</v>
      </c>
      <c r="F141">
        <v>5437</v>
      </c>
      <c r="G141" t="s">
        <v>1213</v>
      </c>
      <c r="I141" t="s">
        <v>1300</v>
      </c>
      <c r="J141">
        <v>2</v>
      </c>
      <c r="K141">
        <v>2</v>
      </c>
      <c r="L141">
        <v>0</v>
      </c>
      <c r="N141">
        <v>25000</v>
      </c>
      <c r="O141">
        <v>10306</v>
      </c>
      <c r="P141" t="s">
        <v>1307</v>
      </c>
      <c r="Q141" t="s">
        <v>1316</v>
      </c>
      <c r="S141" t="s">
        <v>1338</v>
      </c>
      <c r="W141" t="s">
        <v>1362</v>
      </c>
      <c r="Y141" t="s">
        <v>1383</v>
      </c>
      <c r="AA141">
        <v>0</v>
      </c>
      <c r="AB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s="1">
        <f>HYPERLINK("https://lsnyc.legalserver.org/matter/dynamic-profile/view/1866571","18-1866571")</f>
        <v>0</v>
      </c>
      <c r="B142" t="s">
        <v>35</v>
      </c>
      <c r="C142" t="s">
        <v>61</v>
      </c>
      <c r="D142" t="s">
        <v>203</v>
      </c>
      <c r="E142" t="s">
        <v>733</v>
      </c>
      <c r="F142">
        <v>5553</v>
      </c>
      <c r="G142" t="s">
        <v>1207</v>
      </c>
      <c r="I142" t="s">
        <v>1300</v>
      </c>
      <c r="J142">
        <v>2</v>
      </c>
      <c r="K142">
        <v>0</v>
      </c>
      <c r="L142">
        <v>1</v>
      </c>
      <c r="M142" t="s">
        <v>1302</v>
      </c>
      <c r="N142">
        <v>63444.42</v>
      </c>
      <c r="O142">
        <v>11219</v>
      </c>
      <c r="P142" t="s">
        <v>1309</v>
      </c>
      <c r="Q142" t="s">
        <v>1316</v>
      </c>
      <c r="S142" t="s">
        <v>1333</v>
      </c>
      <c r="T142" t="s">
        <v>1332</v>
      </c>
      <c r="W142" t="s">
        <v>1361</v>
      </c>
      <c r="AA142">
        <v>0</v>
      </c>
      <c r="AB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s="1">
        <f>HYPERLINK("https://lsnyc.legalserver.org/matter/dynamic-profile/view/1868175","18-1868175")</f>
        <v>0</v>
      </c>
      <c r="B143" t="s">
        <v>36</v>
      </c>
      <c r="C143" t="s">
        <v>58</v>
      </c>
      <c r="D143" t="s">
        <v>204</v>
      </c>
      <c r="E143" t="s">
        <v>734</v>
      </c>
      <c r="F143">
        <v>5440</v>
      </c>
      <c r="G143" t="s">
        <v>1200</v>
      </c>
      <c r="I143" t="s">
        <v>1300</v>
      </c>
      <c r="J143">
        <v>2</v>
      </c>
      <c r="K143">
        <v>0</v>
      </c>
      <c r="L143">
        <v>1</v>
      </c>
      <c r="M143" t="s">
        <v>1304</v>
      </c>
      <c r="N143">
        <v>100000</v>
      </c>
      <c r="O143">
        <v>10458</v>
      </c>
      <c r="P143" t="s">
        <v>1310</v>
      </c>
      <c r="Q143" t="s">
        <v>1315</v>
      </c>
      <c r="R143" t="s">
        <v>1314</v>
      </c>
      <c r="S143" t="s">
        <v>1338</v>
      </c>
      <c r="T143" t="s">
        <v>1340</v>
      </c>
      <c r="U143" t="s">
        <v>1353</v>
      </c>
      <c r="W143" t="s">
        <v>1365</v>
      </c>
      <c r="Y143" t="s">
        <v>1388</v>
      </c>
      <c r="AA143">
        <v>0</v>
      </c>
      <c r="AB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s="1">
        <f>HYPERLINK("https://lsnyc.legalserver.org/matter/dynamic-profile/view/1869899","18-1869899")</f>
        <v>0</v>
      </c>
      <c r="B144" t="s">
        <v>35</v>
      </c>
      <c r="C144" t="s">
        <v>55</v>
      </c>
      <c r="D144" t="s">
        <v>205</v>
      </c>
      <c r="E144" t="s">
        <v>735</v>
      </c>
      <c r="F144">
        <v>5553</v>
      </c>
      <c r="I144" t="s">
        <v>1300</v>
      </c>
      <c r="J144">
        <v>1</v>
      </c>
      <c r="K144">
        <v>0</v>
      </c>
      <c r="L144">
        <v>0</v>
      </c>
      <c r="N144">
        <v>9000</v>
      </c>
      <c r="O144">
        <v>11218</v>
      </c>
      <c r="P144" t="s">
        <v>1309</v>
      </c>
      <c r="Q144" t="s">
        <v>1324</v>
      </c>
      <c r="S144" t="s">
        <v>1334</v>
      </c>
      <c r="T144" t="s">
        <v>1336</v>
      </c>
      <c r="W144" t="s">
        <v>1366</v>
      </c>
      <c r="Y144" t="s">
        <v>1389</v>
      </c>
      <c r="AA144">
        <v>0</v>
      </c>
      <c r="AB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s="1">
        <f>HYPERLINK("https://lsnyc.legalserver.org/matter/dynamic-profile/view/1877439","18-1877439")</f>
        <v>0</v>
      </c>
      <c r="B145" t="s">
        <v>35</v>
      </c>
      <c r="C145" t="s">
        <v>40</v>
      </c>
      <c r="D145" t="s">
        <v>110</v>
      </c>
      <c r="E145" t="s">
        <v>687</v>
      </c>
      <c r="F145">
        <v>5553</v>
      </c>
      <c r="I145" t="s">
        <v>1300</v>
      </c>
      <c r="J145">
        <v>1</v>
      </c>
      <c r="K145">
        <v>0</v>
      </c>
      <c r="L145">
        <v>1</v>
      </c>
      <c r="M145" t="s">
        <v>1301</v>
      </c>
      <c r="N145">
        <v>19272</v>
      </c>
      <c r="O145">
        <v>11234</v>
      </c>
      <c r="P145" t="s">
        <v>1309</v>
      </c>
      <c r="Q145" t="s">
        <v>1317</v>
      </c>
      <c r="S145" t="s">
        <v>1338</v>
      </c>
      <c r="T145" t="s">
        <v>1336</v>
      </c>
      <c r="W145" t="s">
        <v>1365</v>
      </c>
      <c r="Y145" t="s">
        <v>1366</v>
      </c>
      <c r="AA145">
        <v>0</v>
      </c>
      <c r="AB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s="1">
        <f>HYPERLINK("https://lsnyc.legalserver.org/matter/dynamic-profile/view/1882557","18-1882557")</f>
        <v>0</v>
      </c>
      <c r="B146" t="s">
        <v>33</v>
      </c>
      <c r="C146" t="s">
        <v>38</v>
      </c>
      <c r="D146" t="s">
        <v>144</v>
      </c>
      <c r="E146" t="s">
        <v>736</v>
      </c>
      <c r="F146">
        <v>5437</v>
      </c>
      <c r="G146" t="s">
        <v>1207</v>
      </c>
      <c r="I146" t="s">
        <v>1300</v>
      </c>
      <c r="J146">
        <v>3</v>
      </c>
      <c r="K146">
        <v>0</v>
      </c>
      <c r="L146">
        <v>0</v>
      </c>
      <c r="N146">
        <v>70000</v>
      </c>
      <c r="O146">
        <v>10309</v>
      </c>
      <c r="P146" t="s">
        <v>1307</v>
      </c>
      <c r="Q146" t="s">
        <v>1315</v>
      </c>
      <c r="S146" t="s">
        <v>1337</v>
      </c>
      <c r="W146" t="s">
        <v>1366</v>
      </c>
      <c r="AA146">
        <v>0</v>
      </c>
      <c r="AB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s="1">
        <f>HYPERLINK("https://lsnyc.legalserver.org/matter/dynamic-profile/view/1889011","19-1889011")</f>
        <v>0</v>
      </c>
      <c r="B147" t="s">
        <v>33</v>
      </c>
      <c r="C147" t="s">
        <v>53</v>
      </c>
      <c r="D147" t="s">
        <v>206</v>
      </c>
      <c r="E147" t="s">
        <v>255</v>
      </c>
      <c r="F147">
        <v>5437</v>
      </c>
      <c r="G147" t="s">
        <v>1191</v>
      </c>
      <c r="I147" t="s">
        <v>1300</v>
      </c>
      <c r="J147">
        <v>1</v>
      </c>
      <c r="K147">
        <v>2</v>
      </c>
      <c r="L147">
        <v>0</v>
      </c>
      <c r="N147">
        <v>38800</v>
      </c>
      <c r="O147">
        <v>10306</v>
      </c>
      <c r="P147" t="s">
        <v>1307</v>
      </c>
      <c r="Q147" t="s">
        <v>1315</v>
      </c>
      <c r="S147" t="s">
        <v>1336</v>
      </c>
      <c r="W147" t="s">
        <v>1366</v>
      </c>
      <c r="AA147">
        <v>0</v>
      </c>
      <c r="AB147">
        <v>0</v>
      </c>
      <c r="AD147">
        <v>0</v>
      </c>
      <c r="AE147">
        <v>0</v>
      </c>
      <c r="AF147">
        <v>0</v>
      </c>
      <c r="AG147">
        <v>0</v>
      </c>
    </row>
    <row r="148" spans="1:33">
      <c r="A148" s="1">
        <f>HYPERLINK("https://lsnyc.legalserver.org/matter/dynamic-profile/view/1892870","19-1892870")</f>
        <v>0</v>
      </c>
      <c r="B148" t="s">
        <v>33</v>
      </c>
      <c r="C148" t="s">
        <v>56</v>
      </c>
      <c r="D148" t="s">
        <v>207</v>
      </c>
      <c r="E148" t="s">
        <v>737</v>
      </c>
      <c r="F148">
        <v>5437</v>
      </c>
      <c r="G148" t="s">
        <v>1229</v>
      </c>
      <c r="I148" t="s">
        <v>1300</v>
      </c>
      <c r="J148">
        <v>2</v>
      </c>
      <c r="K148">
        <v>2</v>
      </c>
      <c r="L148">
        <v>0</v>
      </c>
      <c r="M148" t="s">
        <v>1302</v>
      </c>
      <c r="N148">
        <v>3000</v>
      </c>
      <c r="O148">
        <v>10312</v>
      </c>
      <c r="P148" t="s">
        <v>1307</v>
      </c>
      <c r="Q148" t="s">
        <v>1325</v>
      </c>
      <c r="S148" t="s">
        <v>1332</v>
      </c>
      <c r="T148" t="s">
        <v>1336</v>
      </c>
      <c r="W148" t="s">
        <v>1361</v>
      </c>
      <c r="AA148">
        <v>0</v>
      </c>
      <c r="AB148">
        <v>0</v>
      </c>
      <c r="AD148">
        <v>0</v>
      </c>
      <c r="AE148">
        <v>0</v>
      </c>
      <c r="AF148">
        <v>0</v>
      </c>
      <c r="AG148">
        <v>0</v>
      </c>
    </row>
    <row r="149" spans="1:33">
      <c r="A149" s="1">
        <f>HYPERLINK("https://lsnyc.legalserver.org/matter/dynamic-profile/view/1894367","19-1894367")</f>
        <v>0</v>
      </c>
      <c r="B149" t="s">
        <v>33</v>
      </c>
      <c r="C149" t="s">
        <v>63</v>
      </c>
      <c r="D149" t="s">
        <v>208</v>
      </c>
      <c r="E149" t="s">
        <v>738</v>
      </c>
      <c r="F149">
        <v>5437</v>
      </c>
      <c r="G149" t="s">
        <v>1230</v>
      </c>
      <c r="I149" t="s">
        <v>1300</v>
      </c>
      <c r="J149">
        <v>2</v>
      </c>
      <c r="K149">
        <v>2</v>
      </c>
      <c r="L149">
        <v>0</v>
      </c>
      <c r="M149" t="s">
        <v>1301</v>
      </c>
      <c r="N149">
        <v>60000</v>
      </c>
      <c r="O149">
        <v>10309</v>
      </c>
      <c r="P149" t="s">
        <v>1307</v>
      </c>
      <c r="Q149" t="s">
        <v>1316</v>
      </c>
      <c r="S149" t="s">
        <v>1336</v>
      </c>
      <c r="W149" t="s">
        <v>1366</v>
      </c>
      <c r="AA149">
        <v>0</v>
      </c>
      <c r="AB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s="1">
        <f>HYPERLINK("https://lsnyc.legalserver.org/matter/dynamic-profile/view/1894065","19-1894065")</f>
        <v>0</v>
      </c>
      <c r="B150" t="s">
        <v>33</v>
      </c>
      <c r="C150" t="s">
        <v>53</v>
      </c>
      <c r="D150" t="s">
        <v>143</v>
      </c>
      <c r="E150" t="s">
        <v>739</v>
      </c>
      <c r="F150">
        <v>5437</v>
      </c>
      <c r="I150" t="s">
        <v>1300</v>
      </c>
      <c r="J150">
        <v>3</v>
      </c>
      <c r="K150">
        <v>1</v>
      </c>
      <c r="L150">
        <v>0</v>
      </c>
      <c r="N150">
        <v>51836</v>
      </c>
      <c r="O150">
        <v>10314</v>
      </c>
      <c r="P150" t="s">
        <v>1307</v>
      </c>
      <c r="Q150" t="s">
        <v>1314</v>
      </c>
      <c r="S150" t="s">
        <v>1333</v>
      </c>
      <c r="T150" t="s">
        <v>1340</v>
      </c>
      <c r="U150" t="s">
        <v>1353</v>
      </c>
      <c r="W150" t="s">
        <v>1366</v>
      </c>
      <c r="AA150">
        <v>0</v>
      </c>
      <c r="AB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s="1">
        <f>HYPERLINK("https://lsnyc.legalserver.org/matter/dynamic-profile/view/1895595","19-1895595")</f>
        <v>0</v>
      </c>
      <c r="B151" t="s">
        <v>33</v>
      </c>
      <c r="C151" t="s">
        <v>38</v>
      </c>
      <c r="D151" t="s">
        <v>209</v>
      </c>
      <c r="E151" t="s">
        <v>740</v>
      </c>
      <c r="F151">
        <v>5437</v>
      </c>
      <c r="G151" t="s">
        <v>1185</v>
      </c>
      <c r="I151" t="s">
        <v>1300</v>
      </c>
      <c r="J151">
        <v>2</v>
      </c>
      <c r="K151">
        <v>2</v>
      </c>
      <c r="L151">
        <v>0</v>
      </c>
      <c r="N151">
        <v>78416</v>
      </c>
      <c r="O151">
        <v>10310</v>
      </c>
      <c r="P151" t="s">
        <v>1307</v>
      </c>
      <c r="Q151" t="s">
        <v>1325</v>
      </c>
      <c r="R151" t="s">
        <v>1331</v>
      </c>
      <c r="S151" t="s">
        <v>1333</v>
      </c>
      <c r="T151" t="s">
        <v>1334</v>
      </c>
      <c r="W151" t="s">
        <v>1361</v>
      </c>
      <c r="AA151">
        <v>0</v>
      </c>
      <c r="AB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s="1">
        <f>HYPERLINK("https://lsnyc.legalserver.org/matter/dynamic-profile/view/1896835","19-1896835")</f>
        <v>0</v>
      </c>
      <c r="B152" t="s">
        <v>33</v>
      </c>
      <c r="C152" t="s">
        <v>56</v>
      </c>
      <c r="D152" t="s">
        <v>210</v>
      </c>
      <c r="E152" t="s">
        <v>741</v>
      </c>
      <c r="F152">
        <v>5437</v>
      </c>
      <c r="G152" t="s">
        <v>1206</v>
      </c>
      <c r="I152" t="s">
        <v>1300</v>
      </c>
      <c r="J152">
        <v>2</v>
      </c>
      <c r="K152">
        <v>0</v>
      </c>
      <c r="L152">
        <v>0</v>
      </c>
      <c r="N152">
        <v>37200</v>
      </c>
      <c r="O152">
        <v>10312</v>
      </c>
      <c r="P152" t="s">
        <v>1307</v>
      </c>
      <c r="Q152" t="s">
        <v>1319</v>
      </c>
      <c r="S152" t="s">
        <v>1332</v>
      </c>
      <c r="AA152">
        <v>0</v>
      </c>
      <c r="AB152">
        <v>0</v>
      </c>
      <c r="AD152">
        <v>0</v>
      </c>
      <c r="AE152">
        <v>0</v>
      </c>
      <c r="AF152">
        <v>0</v>
      </c>
      <c r="AG152">
        <v>0</v>
      </c>
    </row>
    <row r="153" spans="1:33">
      <c r="A153" s="1">
        <f>HYPERLINK("https://lsnyc.legalserver.org/matter/dynamic-profile/view/1898258","19-1898258")</f>
        <v>0</v>
      </c>
      <c r="B153" t="s">
        <v>33</v>
      </c>
      <c r="C153" t="s">
        <v>38</v>
      </c>
      <c r="D153" t="s">
        <v>211</v>
      </c>
      <c r="E153" t="s">
        <v>742</v>
      </c>
      <c r="F153">
        <v>5437</v>
      </c>
      <c r="G153" t="s">
        <v>1212</v>
      </c>
      <c r="I153" t="s">
        <v>1300</v>
      </c>
      <c r="J153">
        <v>3</v>
      </c>
      <c r="K153">
        <v>0</v>
      </c>
      <c r="L153">
        <v>0</v>
      </c>
      <c r="N153">
        <v>15600</v>
      </c>
      <c r="O153">
        <v>10310</v>
      </c>
      <c r="P153" t="s">
        <v>1307</v>
      </c>
      <c r="Q153" t="s">
        <v>1319</v>
      </c>
      <c r="S153" t="s">
        <v>1337</v>
      </c>
      <c r="AA153">
        <v>0</v>
      </c>
      <c r="AB153">
        <v>0</v>
      </c>
      <c r="AD153">
        <v>0</v>
      </c>
      <c r="AE153">
        <v>0</v>
      </c>
      <c r="AF153">
        <v>0</v>
      </c>
      <c r="AG153">
        <v>0</v>
      </c>
    </row>
    <row r="154" spans="1:33">
      <c r="A154" s="1">
        <f>HYPERLINK("https://lsnyc.legalserver.org/matter/dynamic-profile/view/1908950","19-1908950")</f>
        <v>0</v>
      </c>
      <c r="B154" t="s">
        <v>33</v>
      </c>
      <c r="C154" t="s">
        <v>63</v>
      </c>
      <c r="D154" t="s">
        <v>212</v>
      </c>
      <c r="E154" t="s">
        <v>743</v>
      </c>
      <c r="F154">
        <v>5437</v>
      </c>
      <c r="G154" t="s">
        <v>1231</v>
      </c>
      <c r="I154" t="s">
        <v>1300</v>
      </c>
      <c r="J154">
        <v>2</v>
      </c>
      <c r="K154">
        <v>0</v>
      </c>
      <c r="L154">
        <v>0</v>
      </c>
      <c r="N154">
        <v>49380</v>
      </c>
      <c r="O154">
        <v>10308</v>
      </c>
      <c r="P154" t="s">
        <v>1307</v>
      </c>
      <c r="Q154" t="s">
        <v>1314</v>
      </c>
      <c r="R154" t="s">
        <v>1319</v>
      </c>
      <c r="S154" t="s">
        <v>1332</v>
      </c>
      <c r="T154" t="s">
        <v>1334</v>
      </c>
      <c r="W154" t="s">
        <v>1361</v>
      </c>
      <c r="AA154">
        <v>0</v>
      </c>
      <c r="AB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s="1">
        <f>HYPERLINK("https://lsnyc.legalserver.org/matter/dynamic-profile/view/1910020","19-1910020")</f>
        <v>0</v>
      </c>
      <c r="B155" t="s">
        <v>33</v>
      </c>
      <c r="C155" t="s">
        <v>53</v>
      </c>
      <c r="D155" t="s">
        <v>213</v>
      </c>
      <c r="E155" t="s">
        <v>744</v>
      </c>
      <c r="F155">
        <v>5437</v>
      </c>
      <c r="I155" t="s">
        <v>1300</v>
      </c>
      <c r="J155">
        <v>3</v>
      </c>
      <c r="K155">
        <v>0</v>
      </c>
      <c r="L155">
        <v>0</v>
      </c>
      <c r="N155">
        <v>35000</v>
      </c>
      <c r="O155">
        <v>10312</v>
      </c>
      <c r="P155" t="s">
        <v>1307</v>
      </c>
      <c r="Q155" t="s">
        <v>1315</v>
      </c>
      <c r="S155" t="s">
        <v>1336</v>
      </c>
      <c r="W155" t="s">
        <v>1361</v>
      </c>
      <c r="Y155" t="s">
        <v>1366</v>
      </c>
      <c r="AA155">
        <v>0</v>
      </c>
      <c r="AB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s="1">
        <f>HYPERLINK("https://lsnyc.legalserver.org/matter/dynamic-profile/view/1909639","19-1909639")</f>
        <v>0</v>
      </c>
      <c r="B156" t="s">
        <v>33</v>
      </c>
      <c r="C156" t="s">
        <v>38</v>
      </c>
      <c r="D156" t="s">
        <v>214</v>
      </c>
      <c r="E156" t="s">
        <v>745</v>
      </c>
      <c r="F156">
        <v>5437</v>
      </c>
      <c r="G156" t="s">
        <v>1231</v>
      </c>
      <c r="I156" t="s">
        <v>1300</v>
      </c>
      <c r="J156">
        <v>4</v>
      </c>
      <c r="K156">
        <v>0</v>
      </c>
      <c r="L156">
        <v>0</v>
      </c>
      <c r="M156" t="s">
        <v>1301</v>
      </c>
      <c r="N156">
        <v>28104</v>
      </c>
      <c r="O156">
        <v>10302</v>
      </c>
      <c r="P156" t="s">
        <v>1307</v>
      </c>
      <c r="Q156" t="s">
        <v>1315</v>
      </c>
      <c r="R156" t="s">
        <v>1317</v>
      </c>
      <c r="S156" t="s">
        <v>1333</v>
      </c>
      <c r="AA156">
        <v>0</v>
      </c>
      <c r="AB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s="1">
        <f>HYPERLINK("https://lsnyc.legalserver.org/matter/dynamic-profile/view/1910032","19-1910032")</f>
        <v>0</v>
      </c>
      <c r="B157" t="s">
        <v>33</v>
      </c>
      <c r="C157" t="s">
        <v>53</v>
      </c>
      <c r="D157" t="s">
        <v>141</v>
      </c>
      <c r="E157" t="s">
        <v>746</v>
      </c>
      <c r="F157">
        <v>5437</v>
      </c>
      <c r="I157" t="s">
        <v>1300</v>
      </c>
      <c r="J157">
        <v>1</v>
      </c>
      <c r="K157">
        <v>3</v>
      </c>
      <c r="L157">
        <v>0</v>
      </c>
      <c r="N157">
        <v>78400</v>
      </c>
      <c r="O157">
        <v>10309</v>
      </c>
      <c r="P157" t="s">
        <v>1307</v>
      </c>
      <c r="AA157">
        <v>0</v>
      </c>
      <c r="AB157">
        <v>0</v>
      </c>
      <c r="AD157">
        <v>0</v>
      </c>
      <c r="AE157">
        <v>0</v>
      </c>
      <c r="AF157">
        <v>0</v>
      </c>
      <c r="AG157">
        <v>0</v>
      </c>
    </row>
    <row r="158" spans="1:33">
      <c r="A158" s="1">
        <f>HYPERLINK("https://lsnyc.legalserver.org/matter/dynamic-profile/view/1913009","19-1913009")</f>
        <v>0</v>
      </c>
      <c r="B158" t="s">
        <v>33</v>
      </c>
      <c r="C158" t="s">
        <v>53</v>
      </c>
      <c r="D158" t="s">
        <v>215</v>
      </c>
      <c r="E158" t="s">
        <v>747</v>
      </c>
      <c r="F158">
        <v>5437</v>
      </c>
      <c r="I158" t="s">
        <v>1300</v>
      </c>
      <c r="J158">
        <v>1</v>
      </c>
      <c r="K158">
        <v>2</v>
      </c>
      <c r="L158">
        <v>0</v>
      </c>
      <c r="N158">
        <v>106028</v>
      </c>
      <c r="O158">
        <v>10312</v>
      </c>
      <c r="P158" t="s">
        <v>1308</v>
      </c>
      <c r="AA158">
        <v>0</v>
      </c>
      <c r="AB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s="1">
        <f>HYPERLINK("https://lsnyc.legalserver.org/matter/dynamic-profile/view/1908483","19-1908483")</f>
        <v>0</v>
      </c>
      <c r="B159" t="s">
        <v>36</v>
      </c>
      <c r="C159" t="s">
        <v>46</v>
      </c>
      <c r="D159" t="s">
        <v>216</v>
      </c>
      <c r="E159" t="s">
        <v>748</v>
      </c>
      <c r="F159">
        <v>2094</v>
      </c>
      <c r="G159" t="s">
        <v>1209</v>
      </c>
      <c r="I159" t="s">
        <v>1297</v>
      </c>
      <c r="J159">
        <v>2</v>
      </c>
      <c r="K159">
        <v>0</v>
      </c>
      <c r="L159">
        <v>1</v>
      </c>
      <c r="M159" t="s">
        <v>1303</v>
      </c>
      <c r="N159">
        <v>29004</v>
      </c>
      <c r="O159">
        <v>10462</v>
      </c>
      <c r="P159" t="s">
        <v>1310</v>
      </c>
      <c r="Q159" t="s">
        <v>1314</v>
      </c>
      <c r="S159" t="s">
        <v>1336</v>
      </c>
      <c r="T159" t="s">
        <v>1332</v>
      </c>
      <c r="W159" t="s">
        <v>1366</v>
      </c>
      <c r="AA159">
        <v>0</v>
      </c>
      <c r="AB159">
        <v>0</v>
      </c>
      <c r="AD159">
        <v>0</v>
      </c>
      <c r="AE159">
        <v>0</v>
      </c>
      <c r="AF159">
        <v>0</v>
      </c>
      <c r="AG159">
        <v>0</v>
      </c>
    </row>
    <row r="160" spans="1:33">
      <c r="A160" s="1">
        <f>HYPERLINK("https://lsnyc.legalserver.org/matter/dynamic-profile/view/1904827","19-1904827")</f>
        <v>0</v>
      </c>
      <c r="B160" t="s">
        <v>34</v>
      </c>
      <c r="C160" t="s">
        <v>54</v>
      </c>
      <c r="D160" t="s">
        <v>217</v>
      </c>
      <c r="E160" t="s">
        <v>749</v>
      </c>
      <c r="F160">
        <v>2093</v>
      </c>
      <c r="G160" t="s">
        <v>1225</v>
      </c>
      <c r="I160" t="s">
        <v>1297</v>
      </c>
      <c r="J160">
        <v>1</v>
      </c>
      <c r="K160">
        <v>0</v>
      </c>
      <c r="L160">
        <v>1</v>
      </c>
      <c r="M160" t="s">
        <v>1301</v>
      </c>
      <c r="N160">
        <v>67000</v>
      </c>
      <c r="O160">
        <v>11434</v>
      </c>
      <c r="P160" t="s">
        <v>1308</v>
      </c>
      <c r="Q160" t="s">
        <v>1319</v>
      </c>
      <c r="S160" t="s">
        <v>1336</v>
      </c>
      <c r="W160" t="s">
        <v>1366</v>
      </c>
      <c r="AA160">
        <v>0</v>
      </c>
      <c r="AB160">
        <v>0</v>
      </c>
      <c r="AD160">
        <v>0</v>
      </c>
      <c r="AE160">
        <v>0</v>
      </c>
      <c r="AF160">
        <v>0</v>
      </c>
      <c r="AG160">
        <v>0</v>
      </c>
    </row>
    <row r="161" spans="1:33">
      <c r="A161" s="1">
        <f>HYPERLINK("https://lsnyc.legalserver.org/matter/dynamic-profile/view/1910893","19-1910893")</f>
        <v>0</v>
      </c>
      <c r="B161" t="s">
        <v>34</v>
      </c>
      <c r="C161" t="s">
        <v>54</v>
      </c>
      <c r="D161" t="s">
        <v>218</v>
      </c>
      <c r="E161" t="s">
        <v>750</v>
      </c>
      <c r="F161">
        <v>2093</v>
      </c>
      <c r="G161" t="s">
        <v>1204</v>
      </c>
      <c r="I161" t="s">
        <v>1297</v>
      </c>
      <c r="J161">
        <v>2</v>
      </c>
      <c r="K161">
        <v>0</v>
      </c>
      <c r="L161">
        <v>0</v>
      </c>
      <c r="M161" t="s">
        <v>1301</v>
      </c>
      <c r="N161">
        <v>60000</v>
      </c>
      <c r="O161">
        <v>11361</v>
      </c>
      <c r="P161" t="s">
        <v>1308</v>
      </c>
      <c r="Q161" t="s">
        <v>1315</v>
      </c>
      <c r="R161" t="s">
        <v>1325</v>
      </c>
      <c r="S161" t="s">
        <v>1336</v>
      </c>
      <c r="W161" t="s">
        <v>1366</v>
      </c>
      <c r="AA161">
        <v>0</v>
      </c>
      <c r="AB161">
        <v>0</v>
      </c>
      <c r="AD161">
        <v>0</v>
      </c>
      <c r="AE161">
        <v>0</v>
      </c>
      <c r="AF161">
        <v>0</v>
      </c>
      <c r="AG161">
        <v>0</v>
      </c>
    </row>
    <row r="162" spans="1:33">
      <c r="A162" s="1">
        <f>HYPERLINK("https://lsnyc.legalserver.org/matter/dynamic-profile/view/0766135","14-0766135")</f>
        <v>0</v>
      </c>
      <c r="B162" t="s">
        <v>34</v>
      </c>
      <c r="C162" t="s">
        <v>54</v>
      </c>
      <c r="D162" t="s">
        <v>219</v>
      </c>
      <c r="E162" t="s">
        <v>751</v>
      </c>
      <c r="F162">
        <v>2093</v>
      </c>
      <c r="G162" t="s">
        <v>1198</v>
      </c>
      <c r="H162" t="s">
        <v>1198</v>
      </c>
      <c r="I162" t="s">
        <v>1297</v>
      </c>
      <c r="J162">
        <v>4</v>
      </c>
      <c r="K162">
        <v>2</v>
      </c>
      <c r="L162">
        <v>0</v>
      </c>
      <c r="M162" t="s">
        <v>1302</v>
      </c>
      <c r="N162">
        <v>69600</v>
      </c>
      <c r="O162">
        <v>11420</v>
      </c>
      <c r="P162" t="s">
        <v>1308</v>
      </c>
      <c r="Q162" t="s">
        <v>1328</v>
      </c>
      <c r="R162" t="s">
        <v>1320</v>
      </c>
      <c r="S162" t="s">
        <v>1340</v>
      </c>
      <c r="T162" t="s">
        <v>1334</v>
      </c>
      <c r="U162" t="s">
        <v>1352</v>
      </c>
      <c r="W162" t="s">
        <v>1363</v>
      </c>
      <c r="AA162">
        <v>1247.25</v>
      </c>
      <c r="AB162">
        <v>0</v>
      </c>
      <c r="AD162">
        <v>0</v>
      </c>
      <c r="AE162">
        <v>0</v>
      </c>
      <c r="AF162">
        <v>0</v>
      </c>
      <c r="AG162">
        <v>0</v>
      </c>
    </row>
    <row r="163" spans="1:33">
      <c r="A163" s="1">
        <f>HYPERLINK("https://lsnyc.legalserver.org/matter/dynamic-profile/view/1884318","18-1884318")</f>
        <v>0</v>
      </c>
      <c r="B163" t="s">
        <v>36</v>
      </c>
      <c r="C163" t="s">
        <v>52</v>
      </c>
      <c r="D163" t="s">
        <v>220</v>
      </c>
      <c r="E163" t="s">
        <v>752</v>
      </c>
      <c r="F163">
        <v>2094</v>
      </c>
      <c r="G163" t="s">
        <v>1232</v>
      </c>
      <c r="I163" t="s">
        <v>1297</v>
      </c>
      <c r="J163">
        <v>2</v>
      </c>
      <c r="K163">
        <v>0</v>
      </c>
      <c r="L163">
        <v>1</v>
      </c>
      <c r="M163" t="s">
        <v>1304</v>
      </c>
      <c r="N163">
        <v>65100</v>
      </c>
      <c r="O163">
        <v>10465</v>
      </c>
      <c r="P163" t="s">
        <v>1310</v>
      </c>
      <c r="Q163" t="s">
        <v>1315</v>
      </c>
      <c r="S163" t="s">
        <v>1332</v>
      </c>
      <c r="T163" t="s">
        <v>1333</v>
      </c>
      <c r="W163" t="s">
        <v>1360</v>
      </c>
      <c r="Y163" t="s">
        <v>1365</v>
      </c>
      <c r="AA163">
        <v>0</v>
      </c>
      <c r="AB163">
        <v>0</v>
      </c>
      <c r="AD163">
        <v>0</v>
      </c>
      <c r="AE163">
        <v>0</v>
      </c>
      <c r="AF163">
        <v>0</v>
      </c>
      <c r="AG163">
        <v>0</v>
      </c>
    </row>
    <row r="164" spans="1:33">
      <c r="A164" s="1">
        <f>HYPERLINK("https://lsnyc.legalserver.org/matter/dynamic-profile/view/0809559","16-0809559")</f>
        <v>0</v>
      </c>
      <c r="B164" t="s">
        <v>35</v>
      </c>
      <c r="C164" t="s">
        <v>55</v>
      </c>
      <c r="D164" t="s">
        <v>197</v>
      </c>
      <c r="E164" t="s">
        <v>753</v>
      </c>
      <c r="F164">
        <v>2091</v>
      </c>
      <c r="G164" t="s">
        <v>1183</v>
      </c>
      <c r="I164" t="s">
        <v>1297</v>
      </c>
      <c r="J164">
        <v>3</v>
      </c>
      <c r="K164">
        <v>1</v>
      </c>
      <c r="L164">
        <v>0</v>
      </c>
      <c r="M164" t="s">
        <v>1302</v>
      </c>
      <c r="N164">
        <v>42660</v>
      </c>
      <c r="O164">
        <v>11218</v>
      </c>
      <c r="P164" t="s">
        <v>1309</v>
      </c>
      <c r="Q164" t="s">
        <v>1319</v>
      </c>
      <c r="R164" t="s">
        <v>1317</v>
      </c>
      <c r="S164" t="s">
        <v>1333</v>
      </c>
      <c r="T164" t="s">
        <v>1340</v>
      </c>
      <c r="U164" t="s">
        <v>1352</v>
      </c>
      <c r="W164" t="s">
        <v>1363</v>
      </c>
      <c r="Y164" t="s">
        <v>1375</v>
      </c>
      <c r="AA164">
        <v>5836.36</v>
      </c>
      <c r="AB164">
        <v>0</v>
      </c>
      <c r="AD164">
        <v>83042.50999999999</v>
      </c>
      <c r="AE164">
        <v>0</v>
      </c>
      <c r="AF164">
        <v>0</v>
      </c>
      <c r="AG164">
        <v>0</v>
      </c>
    </row>
    <row r="165" spans="1:33">
      <c r="A165" s="1">
        <f>HYPERLINK("https://lsnyc.legalserver.org/matter/dynamic-profile/view/1892929","19-1892929")</f>
        <v>0</v>
      </c>
      <c r="B165" t="s">
        <v>36</v>
      </c>
      <c r="C165" t="s">
        <v>58</v>
      </c>
      <c r="D165" t="s">
        <v>221</v>
      </c>
      <c r="E165" t="s">
        <v>754</v>
      </c>
      <c r="F165">
        <v>2094</v>
      </c>
      <c r="G165" t="s">
        <v>1209</v>
      </c>
      <c r="I165" t="s">
        <v>1297</v>
      </c>
      <c r="J165">
        <v>1</v>
      </c>
      <c r="K165">
        <v>0</v>
      </c>
      <c r="L165">
        <v>1</v>
      </c>
      <c r="M165" t="s">
        <v>1303</v>
      </c>
      <c r="N165">
        <v>13200</v>
      </c>
      <c r="O165">
        <v>10462</v>
      </c>
      <c r="P165" t="s">
        <v>1310</v>
      </c>
      <c r="Q165" t="s">
        <v>1320</v>
      </c>
      <c r="S165" t="s">
        <v>1334</v>
      </c>
      <c r="W165" t="s">
        <v>1365</v>
      </c>
      <c r="AA165">
        <v>0</v>
      </c>
      <c r="AB165">
        <v>0</v>
      </c>
      <c r="AD165">
        <v>0</v>
      </c>
      <c r="AE165">
        <v>0</v>
      </c>
      <c r="AF165">
        <v>0</v>
      </c>
      <c r="AG165">
        <v>0</v>
      </c>
    </row>
    <row r="166" spans="1:33">
      <c r="A166" s="1">
        <f>HYPERLINK("https://lsnyc.legalserver.org/matter/dynamic-profile/view/0813971","16-0813971")</f>
        <v>0</v>
      </c>
      <c r="B166" t="s">
        <v>36</v>
      </c>
      <c r="C166" t="s">
        <v>46</v>
      </c>
      <c r="D166" t="s">
        <v>222</v>
      </c>
      <c r="E166" t="s">
        <v>751</v>
      </c>
      <c r="F166">
        <v>2094</v>
      </c>
      <c r="G166" t="s">
        <v>1233</v>
      </c>
      <c r="I166" t="s">
        <v>1297</v>
      </c>
      <c r="J166">
        <v>2</v>
      </c>
      <c r="K166">
        <v>0</v>
      </c>
      <c r="L166">
        <v>0</v>
      </c>
      <c r="M166" t="s">
        <v>1302</v>
      </c>
      <c r="N166">
        <v>106600</v>
      </c>
      <c r="O166">
        <v>10462</v>
      </c>
      <c r="P166" t="s">
        <v>1310</v>
      </c>
      <c r="Q166" t="s">
        <v>1315</v>
      </c>
      <c r="S166" t="s">
        <v>1333</v>
      </c>
      <c r="T166" t="s">
        <v>1338</v>
      </c>
      <c r="U166" t="s">
        <v>1352</v>
      </c>
      <c r="W166" t="s">
        <v>1361</v>
      </c>
      <c r="Y166" t="s">
        <v>1360</v>
      </c>
      <c r="AA166">
        <v>2769.92</v>
      </c>
      <c r="AB166">
        <v>0</v>
      </c>
      <c r="AD166">
        <v>0</v>
      </c>
      <c r="AE166">
        <v>0</v>
      </c>
      <c r="AF166">
        <v>0</v>
      </c>
      <c r="AG166">
        <v>0</v>
      </c>
    </row>
    <row r="167" spans="1:33">
      <c r="A167" s="1">
        <f>HYPERLINK("https://lsnyc.legalserver.org/matter/dynamic-profile/view/0821480","16-0821480")</f>
        <v>0</v>
      </c>
      <c r="B167" t="s">
        <v>33</v>
      </c>
      <c r="C167" t="s">
        <v>56</v>
      </c>
      <c r="D167" t="s">
        <v>223</v>
      </c>
      <c r="E167" t="s">
        <v>755</v>
      </c>
      <c r="F167">
        <v>2090</v>
      </c>
      <c r="G167" t="s">
        <v>1185</v>
      </c>
      <c r="I167" t="s">
        <v>1297</v>
      </c>
      <c r="J167">
        <v>3</v>
      </c>
      <c r="K167">
        <v>1</v>
      </c>
      <c r="L167">
        <v>0</v>
      </c>
      <c r="M167" t="s">
        <v>1301</v>
      </c>
      <c r="N167">
        <v>18256</v>
      </c>
      <c r="O167">
        <v>10302</v>
      </c>
      <c r="P167" t="s">
        <v>1307</v>
      </c>
      <c r="Q167" t="s">
        <v>1318</v>
      </c>
      <c r="S167" t="s">
        <v>1336</v>
      </c>
      <c r="W167" t="s">
        <v>1366</v>
      </c>
      <c r="AA167">
        <v>0</v>
      </c>
      <c r="AB167">
        <v>0</v>
      </c>
      <c r="AD167">
        <v>0</v>
      </c>
      <c r="AE167">
        <v>0</v>
      </c>
      <c r="AF167">
        <v>0</v>
      </c>
      <c r="AG167">
        <v>0</v>
      </c>
    </row>
    <row r="168" spans="1:33">
      <c r="A168" s="1">
        <f>HYPERLINK("https://lsnyc.legalserver.org/matter/dynamic-profile/view/1833992","17-1833992")</f>
        <v>0</v>
      </c>
      <c r="B168" t="s">
        <v>33</v>
      </c>
      <c r="C168" t="s">
        <v>38</v>
      </c>
      <c r="D168" t="s">
        <v>224</v>
      </c>
      <c r="E168" t="s">
        <v>756</v>
      </c>
      <c r="F168">
        <v>2090</v>
      </c>
      <c r="G168" t="s">
        <v>1200</v>
      </c>
      <c r="I168" t="s">
        <v>1297</v>
      </c>
      <c r="J168">
        <v>2</v>
      </c>
      <c r="K168">
        <v>2</v>
      </c>
      <c r="L168">
        <v>0</v>
      </c>
      <c r="N168">
        <v>67600</v>
      </c>
      <c r="O168">
        <v>10305</v>
      </c>
      <c r="P168" t="s">
        <v>1307</v>
      </c>
      <c r="Q168" t="s">
        <v>1319</v>
      </c>
      <c r="S168" t="s">
        <v>1334</v>
      </c>
      <c r="T168" t="s">
        <v>1337</v>
      </c>
      <c r="W168" t="s">
        <v>1375</v>
      </c>
      <c r="Y168" t="s">
        <v>1366</v>
      </c>
      <c r="AA168">
        <v>0</v>
      </c>
      <c r="AB168">
        <v>0</v>
      </c>
      <c r="AD168">
        <v>0</v>
      </c>
      <c r="AE168">
        <v>0</v>
      </c>
      <c r="AF168">
        <v>0</v>
      </c>
      <c r="AG168">
        <v>0</v>
      </c>
    </row>
    <row r="169" spans="1:33">
      <c r="A169" s="1">
        <f>HYPERLINK("https://lsnyc.legalserver.org/matter/dynamic-profile/view/1880974","18-1880974")</f>
        <v>0</v>
      </c>
      <c r="B169" t="s">
        <v>33</v>
      </c>
      <c r="C169" t="s">
        <v>56</v>
      </c>
      <c r="D169" t="s">
        <v>225</v>
      </c>
      <c r="E169" t="s">
        <v>757</v>
      </c>
      <c r="F169">
        <v>2090</v>
      </c>
      <c r="G169" t="s">
        <v>1207</v>
      </c>
      <c r="H169" t="s">
        <v>1276</v>
      </c>
      <c r="I169" t="s">
        <v>1297</v>
      </c>
      <c r="J169">
        <v>5</v>
      </c>
      <c r="K169">
        <v>0</v>
      </c>
      <c r="L169">
        <v>0</v>
      </c>
      <c r="N169">
        <v>69492</v>
      </c>
      <c r="O169">
        <v>10314</v>
      </c>
      <c r="P169" t="s">
        <v>1307</v>
      </c>
      <c r="Q169" t="s">
        <v>1328</v>
      </c>
      <c r="R169" t="s">
        <v>1316</v>
      </c>
      <c r="S169" t="s">
        <v>1337</v>
      </c>
      <c r="T169" t="s">
        <v>1337</v>
      </c>
      <c r="W169" t="s">
        <v>1366</v>
      </c>
      <c r="AA169">
        <v>0</v>
      </c>
      <c r="AB169">
        <v>0</v>
      </c>
      <c r="AD169">
        <v>0</v>
      </c>
      <c r="AE169">
        <v>0</v>
      </c>
      <c r="AF169">
        <v>0</v>
      </c>
      <c r="AG169">
        <v>0</v>
      </c>
    </row>
    <row r="170" spans="1:33">
      <c r="A170" s="1">
        <f>HYPERLINK("https://lsnyc.legalserver.org/matter/dynamic-profile/view/1904572","19-1904572")</f>
        <v>0</v>
      </c>
      <c r="B170" t="s">
        <v>36</v>
      </c>
      <c r="C170" t="s">
        <v>59</v>
      </c>
      <c r="D170" t="s">
        <v>226</v>
      </c>
      <c r="E170" t="s">
        <v>758</v>
      </c>
      <c r="F170">
        <v>2094</v>
      </c>
      <c r="G170" t="s">
        <v>1234</v>
      </c>
      <c r="I170" t="s">
        <v>1297</v>
      </c>
      <c r="J170">
        <v>2</v>
      </c>
      <c r="K170">
        <v>2</v>
      </c>
      <c r="L170">
        <v>0</v>
      </c>
      <c r="M170" t="s">
        <v>1301</v>
      </c>
      <c r="N170">
        <v>0</v>
      </c>
      <c r="O170">
        <v>10466</v>
      </c>
      <c r="P170" t="s">
        <v>1310</v>
      </c>
      <c r="Q170" t="s">
        <v>1315</v>
      </c>
      <c r="S170" t="s">
        <v>1337</v>
      </c>
      <c r="W170" t="s">
        <v>1366</v>
      </c>
      <c r="AA170">
        <v>0</v>
      </c>
      <c r="AB170">
        <v>0</v>
      </c>
      <c r="AD170">
        <v>0</v>
      </c>
      <c r="AE170">
        <v>0</v>
      </c>
      <c r="AF170">
        <v>0</v>
      </c>
      <c r="AG170">
        <v>0</v>
      </c>
    </row>
    <row r="171" spans="1:33">
      <c r="A171" s="1">
        <f>HYPERLINK("https://lsnyc.legalserver.org/matter/dynamic-profile/view/1910202","19-1910202")</f>
        <v>0</v>
      </c>
      <c r="B171" t="s">
        <v>34</v>
      </c>
      <c r="C171" t="s">
        <v>44</v>
      </c>
      <c r="D171" t="s">
        <v>227</v>
      </c>
      <c r="E171" t="s">
        <v>759</v>
      </c>
      <c r="F171">
        <v>2093</v>
      </c>
      <c r="G171" t="s">
        <v>1191</v>
      </c>
      <c r="H171" t="s">
        <v>1195</v>
      </c>
      <c r="I171" t="s">
        <v>1297</v>
      </c>
      <c r="J171">
        <v>5</v>
      </c>
      <c r="K171">
        <v>1</v>
      </c>
      <c r="L171">
        <v>0</v>
      </c>
      <c r="M171" t="s">
        <v>1302</v>
      </c>
      <c r="N171">
        <v>84000</v>
      </c>
      <c r="O171">
        <v>11374</v>
      </c>
      <c r="P171" t="s">
        <v>1308</v>
      </c>
      <c r="Q171" t="s">
        <v>1328</v>
      </c>
      <c r="S171" t="s">
        <v>1337</v>
      </c>
      <c r="AA171">
        <v>0</v>
      </c>
      <c r="AB171">
        <v>0</v>
      </c>
      <c r="AD171">
        <v>0</v>
      </c>
      <c r="AE171">
        <v>0</v>
      </c>
      <c r="AF171">
        <v>0</v>
      </c>
      <c r="AG171">
        <v>0</v>
      </c>
    </row>
    <row r="172" spans="1:33">
      <c r="A172" s="1">
        <f>HYPERLINK("https://lsnyc.legalserver.org/matter/dynamic-profile/view/1911371","19-1911371")</f>
        <v>0</v>
      </c>
      <c r="B172" t="s">
        <v>33</v>
      </c>
      <c r="C172" t="s">
        <v>56</v>
      </c>
      <c r="D172" t="s">
        <v>224</v>
      </c>
      <c r="E172" t="s">
        <v>756</v>
      </c>
      <c r="F172">
        <v>2090</v>
      </c>
      <c r="G172" t="s">
        <v>1235</v>
      </c>
      <c r="H172" t="s">
        <v>1193</v>
      </c>
      <c r="I172" t="s">
        <v>1297</v>
      </c>
      <c r="J172">
        <v>2</v>
      </c>
      <c r="K172">
        <v>2</v>
      </c>
      <c r="L172">
        <v>0</v>
      </c>
      <c r="N172">
        <v>67600</v>
      </c>
      <c r="O172">
        <v>10305</v>
      </c>
      <c r="P172" t="s">
        <v>1307</v>
      </c>
      <c r="Q172" t="s">
        <v>1319</v>
      </c>
      <c r="S172" t="s">
        <v>1332</v>
      </c>
      <c r="AA172">
        <v>0</v>
      </c>
      <c r="AB172">
        <v>0</v>
      </c>
      <c r="AD172">
        <v>0</v>
      </c>
      <c r="AE172">
        <v>0</v>
      </c>
      <c r="AF172">
        <v>0</v>
      </c>
      <c r="AG172">
        <v>0</v>
      </c>
    </row>
    <row r="173" spans="1:33">
      <c r="A173" s="1">
        <f>HYPERLINK("https://lsnyc.legalserver.org/matter/dynamic-profile/view/1909084","19-1909084")</f>
        <v>0</v>
      </c>
      <c r="B173" t="s">
        <v>33</v>
      </c>
      <c r="C173" t="s">
        <v>53</v>
      </c>
      <c r="D173" t="s">
        <v>228</v>
      </c>
      <c r="E173" t="s">
        <v>760</v>
      </c>
      <c r="F173">
        <v>2090</v>
      </c>
      <c r="G173" t="s">
        <v>1210</v>
      </c>
      <c r="I173" t="s">
        <v>1297</v>
      </c>
      <c r="J173">
        <v>4</v>
      </c>
      <c r="K173">
        <v>1</v>
      </c>
      <c r="L173">
        <v>0</v>
      </c>
      <c r="N173">
        <v>106600</v>
      </c>
      <c r="O173">
        <v>10310</v>
      </c>
      <c r="P173" t="s">
        <v>1307</v>
      </c>
      <c r="Q173" t="s">
        <v>1315</v>
      </c>
      <c r="S173" t="s">
        <v>1336</v>
      </c>
      <c r="AA173">
        <v>0</v>
      </c>
      <c r="AB173">
        <v>0</v>
      </c>
      <c r="AD173">
        <v>0</v>
      </c>
      <c r="AE173">
        <v>0</v>
      </c>
      <c r="AF173">
        <v>0</v>
      </c>
      <c r="AG173">
        <v>0</v>
      </c>
    </row>
    <row r="174" spans="1:33">
      <c r="A174" s="1">
        <f>HYPERLINK("https://lsnyc.legalserver.org/matter/dynamic-profile/view/1912234","19-1912234")</f>
        <v>0</v>
      </c>
      <c r="B174" t="s">
        <v>36</v>
      </c>
      <c r="C174" t="s">
        <v>46</v>
      </c>
      <c r="D174" t="s">
        <v>229</v>
      </c>
      <c r="E174" t="s">
        <v>547</v>
      </c>
      <c r="F174">
        <v>2094</v>
      </c>
      <c r="G174" t="s">
        <v>1209</v>
      </c>
      <c r="I174" t="s">
        <v>1297</v>
      </c>
      <c r="J174">
        <v>3</v>
      </c>
      <c r="K174">
        <v>0</v>
      </c>
      <c r="L174">
        <v>0</v>
      </c>
      <c r="M174" t="s">
        <v>1303</v>
      </c>
      <c r="N174">
        <v>20556</v>
      </c>
      <c r="O174">
        <v>10462</v>
      </c>
      <c r="P174" t="s">
        <v>1310</v>
      </c>
      <c r="Q174" t="s">
        <v>1319</v>
      </c>
      <c r="S174" t="s">
        <v>1337</v>
      </c>
      <c r="W174" t="s">
        <v>1366</v>
      </c>
      <c r="AA174">
        <v>0</v>
      </c>
      <c r="AB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s="1">
        <f>HYPERLINK("https://lsnyc.legalserver.org/matter/dynamic-profile/view/1912515","19-1912515")</f>
        <v>0</v>
      </c>
      <c r="B175" t="s">
        <v>34</v>
      </c>
      <c r="C175" t="s">
        <v>57</v>
      </c>
      <c r="D175" t="s">
        <v>230</v>
      </c>
      <c r="E175" t="s">
        <v>761</v>
      </c>
      <c r="F175">
        <v>2093</v>
      </c>
      <c r="I175" t="s">
        <v>1297</v>
      </c>
      <c r="J175">
        <v>2</v>
      </c>
      <c r="K175">
        <v>0</v>
      </c>
      <c r="L175">
        <v>0</v>
      </c>
      <c r="N175">
        <v>7280</v>
      </c>
      <c r="O175">
        <v>11374</v>
      </c>
      <c r="P175" t="s">
        <v>1308</v>
      </c>
      <c r="Q175" t="s">
        <v>1325</v>
      </c>
      <c r="S175" t="s">
        <v>1336</v>
      </c>
      <c r="AA175">
        <v>0</v>
      </c>
      <c r="AB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s="1">
        <f>HYPERLINK("https://lsnyc.legalserver.org/matter/dynamic-profile/view/1911805","19-1911805")</f>
        <v>0</v>
      </c>
      <c r="B176" t="s">
        <v>35</v>
      </c>
      <c r="C176" t="s">
        <v>40</v>
      </c>
      <c r="D176" t="s">
        <v>231</v>
      </c>
      <c r="E176" t="s">
        <v>762</v>
      </c>
      <c r="F176">
        <v>2091</v>
      </c>
      <c r="G176" t="s">
        <v>1236</v>
      </c>
      <c r="I176" t="s">
        <v>1297</v>
      </c>
      <c r="J176">
        <v>3</v>
      </c>
      <c r="K176">
        <v>0</v>
      </c>
      <c r="L176">
        <v>0</v>
      </c>
      <c r="M176" t="s">
        <v>1302</v>
      </c>
      <c r="N176">
        <v>140400</v>
      </c>
      <c r="O176">
        <v>11228</v>
      </c>
      <c r="P176" t="s">
        <v>1309</v>
      </c>
      <c r="Q176" t="s">
        <v>1320</v>
      </c>
      <c r="S176" t="s">
        <v>1332</v>
      </c>
      <c r="T176" t="s">
        <v>1336</v>
      </c>
      <c r="W176" t="s">
        <v>1361</v>
      </c>
      <c r="Y176" t="s">
        <v>1366</v>
      </c>
      <c r="AA176">
        <v>0</v>
      </c>
      <c r="AB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s="1">
        <f>HYPERLINK("https://lsnyc.legalserver.org/matter/dynamic-profile/view/1914196","19-1914196")</f>
        <v>0</v>
      </c>
      <c r="B177" t="s">
        <v>34</v>
      </c>
      <c r="C177" t="s">
        <v>65</v>
      </c>
      <c r="D177" t="s">
        <v>232</v>
      </c>
      <c r="E177" t="s">
        <v>763</v>
      </c>
      <c r="F177">
        <v>2093</v>
      </c>
      <c r="I177" t="s">
        <v>1297</v>
      </c>
      <c r="J177">
        <v>1</v>
      </c>
      <c r="K177">
        <v>0</v>
      </c>
      <c r="L177">
        <v>0</v>
      </c>
      <c r="M177" t="s">
        <v>1302</v>
      </c>
      <c r="N177">
        <v>6000</v>
      </c>
      <c r="O177">
        <v>11419</v>
      </c>
      <c r="P177" t="s">
        <v>1308</v>
      </c>
      <c r="Q177" t="s">
        <v>1317</v>
      </c>
      <c r="AA177">
        <v>0</v>
      </c>
      <c r="AB177">
        <v>0</v>
      </c>
      <c r="AD177">
        <v>0</v>
      </c>
      <c r="AE177">
        <v>0</v>
      </c>
      <c r="AF177">
        <v>0</v>
      </c>
      <c r="AG177">
        <v>0</v>
      </c>
    </row>
    <row r="178" spans="1:33">
      <c r="A178" s="1">
        <f>HYPERLINK("https://lsnyc.legalserver.org/matter/dynamic-profile/view/1917147","19-1917147")</f>
        <v>0</v>
      </c>
      <c r="B178" t="s">
        <v>34</v>
      </c>
      <c r="C178" t="s">
        <v>39</v>
      </c>
      <c r="D178" t="s">
        <v>233</v>
      </c>
      <c r="E178" t="s">
        <v>764</v>
      </c>
      <c r="F178">
        <v>2093</v>
      </c>
      <c r="I178" t="s">
        <v>1297</v>
      </c>
      <c r="J178">
        <v>2</v>
      </c>
      <c r="K178">
        <v>1</v>
      </c>
      <c r="L178">
        <v>0</v>
      </c>
      <c r="N178">
        <v>116400</v>
      </c>
      <c r="O178">
        <v>11363</v>
      </c>
      <c r="P178" t="s">
        <v>1308</v>
      </c>
      <c r="AA178">
        <v>0</v>
      </c>
      <c r="AB178">
        <v>0</v>
      </c>
      <c r="AD178">
        <v>0</v>
      </c>
      <c r="AE178">
        <v>0</v>
      </c>
      <c r="AF178">
        <v>0</v>
      </c>
      <c r="AG178">
        <v>0</v>
      </c>
    </row>
    <row r="179" spans="1:33">
      <c r="A179" s="1">
        <f>HYPERLINK("https://lsnyc.legalserver.org/matter/dynamic-profile/view/1907967","19-1907967")</f>
        <v>0</v>
      </c>
      <c r="B179" t="s">
        <v>35</v>
      </c>
      <c r="C179" t="s">
        <v>55</v>
      </c>
      <c r="D179" t="s">
        <v>234</v>
      </c>
      <c r="E179" t="s">
        <v>765</v>
      </c>
      <c r="F179">
        <v>2091</v>
      </c>
      <c r="I179" t="s">
        <v>1298</v>
      </c>
      <c r="J179">
        <v>5</v>
      </c>
      <c r="K179">
        <v>1</v>
      </c>
      <c r="L179">
        <v>0</v>
      </c>
      <c r="M179" t="s">
        <v>1302</v>
      </c>
      <c r="N179">
        <v>67800</v>
      </c>
      <c r="O179">
        <v>11236</v>
      </c>
      <c r="P179" t="s">
        <v>1309</v>
      </c>
      <c r="Q179" t="s">
        <v>1316</v>
      </c>
      <c r="R179" t="s">
        <v>1321</v>
      </c>
      <c r="S179" t="s">
        <v>1337</v>
      </c>
      <c r="T179" t="s">
        <v>1332</v>
      </c>
      <c r="W179" t="s">
        <v>1361</v>
      </c>
      <c r="Y179" t="s">
        <v>1366</v>
      </c>
      <c r="AA179">
        <v>0</v>
      </c>
      <c r="AB179">
        <v>0</v>
      </c>
      <c r="AD179">
        <v>0</v>
      </c>
      <c r="AE179">
        <v>0</v>
      </c>
      <c r="AF179">
        <v>0</v>
      </c>
      <c r="AG179">
        <v>0</v>
      </c>
    </row>
    <row r="180" spans="1:33">
      <c r="A180" s="1">
        <f>HYPERLINK("https://lsnyc.legalserver.org/matter/dynamic-profile/view/1866058","18-1866058")</f>
        <v>0</v>
      </c>
      <c r="B180" t="s">
        <v>33</v>
      </c>
      <c r="C180" t="s">
        <v>63</v>
      </c>
      <c r="D180" t="s">
        <v>235</v>
      </c>
      <c r="E180" t="s">
        <v>766</v>
      </c>
      <c r="F180">
        <v>2090</v>
      </c>
      <c r="I180" t="s">
        <v>1298</v>
      </c>
      <c r="J180">
        <v>1</v>
      </c>
      <c r="K180">
        <v>1</v>
      </c>
      <c r="L180">
        <v>0</v>
      </c>
      <c r="N180">
        <v>36400</v>
      </c>
      <c r="O180">
        <v>10303</v>
      </c>
      <c r="P180" t="s">
        <v>1307</v>
      </c>
      <c r="Q180" t="s">
        <v>1320</v>
      </c>
      <c r="R180" t="s">
        <v>1326</v>
      </c>
      <c r="S180" t="s">
        <v>1337</v>
      </c>
      <c r="T180" t="s">
        <v>1344</v>
      </c>
      <c r="W180" t="s">
        <v>1378</v>
      </c>
      <c r="AA180">
        <v>0</v>
      </c>
      <c r="AB180">
        <v>0</v>
      </c>
      <c r="AC180">
        <v>6927.15</v>
      </c>
      <c r="AD180">
        <v>0</v>
      </c>
      <c r="AE180">
        <v>0</v>
      </c>
      <c r="AF180">
        <v>0</v>
      </c>
      <c r="AG180">
        <v>0</v>
      </c>
    </row>
    <row r="181" spans="1:33">
      <c r="A181" s="1">
        <f>HYPERLINK("https://lsnyc.legalserver.org/matter/dynamic-profile/view/1907932","19-1907932")</f>
        <v>0</v>
      </c>
      <c r="B181" t="s">
        <v>36</v>
      </c>
      <c r="C181" t="s">
        <v>46</v>
      </c>
      <c r="D181" t="s">
        <v>154</v>
      </c>
      <c r="E181" t="s">
        <v>660</v>
      </c>
      <c r="F181">
        <v>2094</v>
      </c>
      <c r="G181" t="s">
        <v>1192</v>
      </c>
      <c r="I181" t="s">
        <v>1298</v>
      </c>
      <c r="J181">
        <v>2</v>
      </c>
      <c r="K181">
        <v>0</v>
      </c>
      <c r="L181">
        <v>0</v>
      </c>
      <c r="M181" t="s">
        <v>1301</v>
      </c>
      <c r="N181">
        <v>39000</v>
      </c>
      <c r="O181">
        <v>10466</v>
      </c>
      <c r="P181" t="s">
        <v>1310</v>
      </c>
      <c r="Q181" t="s">
        <v>1319</v>
      </c>
      <c r="R181" t="s">
        <v>1315</v>
      </c>
      <c r="S181" t="s">
        <v>1337</v>
      </c>
      <c r="W181" t="s">
        <v>1366</v>
      </c>
      <c r="AA181">
        <v>0</v>
      </c>
      <c r="AB181">
        <v>0</v>
      </c>
      <c r="AD181">
        <v>0</v>
      </c>
      <c r="AE181">
        <v>0</v>
      </c>
      <c r="AF181">
        <v>0</v>
      </c>
      <c r="AG181">
        <v>0</v>
      </c>
    </row>
    <row r="182" spans="1:33">
      <c r="A182" s="1">
        <f>HYPERLINK("https://lsnyc.legalserver.org/matter/dynamic-profile/view/1908519","19-1908519")</f>
        <v>0</v>
      </c>
      <c r="B182" t="s">
        <v>36</v>
      </c>
      <c r="C182" t="s">
        <v>46</v>
      </c>
      <c r="D182" t="s">
        <v>236</v>
      </c>
      <c r="E182" t="s">
        <v>767</v>
      </c>
      <c r="F182">
        <v>2094</v>
      </c>
      <c r="G182" t="s">
        <v>1210</v>
      </c>
      <c r="I182" t="s">
        <v>1298</v>
      </c>
      <c r="J182">
        <v>2</v>
      </c>
      <c r="K182">
        <v>0</v>
      </c>
      <c r="L182">
        <v>0</v>
      </c>
      <c r="M182" t="s">
        <v>1302</v>
      </c>
      <c r="N182">
        <v>20000</v>
      </c>
      <c r="O182">
        <v>10473</v>
      </c>
      <c r="P182" t="s">
        <v>1310</v>
      </c>
      <c r="Q182" t="s">
        <v>1319</v>
      </c>
      <c r="S182" t="s">
        <v>1332</v>
      </c>
      <c r="T182" t="s">
        <v>1336</v>
      </c>
      <c r="W182" t="s">
        <v>1361</v>
      </c>
      <c r="Y182" t="s">
        <v>1366</v>
      </c>
      <c r="AA182">
        <v>0</v>
      </c>
      <c r="AB182">
        <v>0</v>
      </c>
      <c r="AD182">
        <v>0</v>
      </c>
      <c r="AE182">
        <v>0</v>
      </c>
      <c r="AF182">
        <v>0</v>
      </c>
      <c r="AG182">
        <v>0</v>
      </c>
    </row>
    <row r="183" spans="1:33">
      <c r="A183" s="1">
        <f>HYPERLINK("https://lsnyc.legalserver.org/matter/dynamic-profile/view/1908978","19-1908978")</f>
        <v>0</v>
      </c>
      <c r="B183" t="s">
        <v>36</v>
      </c>
      <c r="C183" t="s">
        <v>46</v>
      </c>
      <c r="D183" t="s">
        <v>237</v>
      </c>
      <c r="E183" t="s">
        <v>768</v>
      </c>
      <c r="F183">
        <v>2094</v>
      </c>
      <c r="I183" t="s">
        <v>1298</v>
      </c>
      <c r="J183">
        <v>2</v>
      </c>
      <c r="K183">
        <v>1</v>
      </c>
      <c r="L183">
        <v>0</v>
      </c>
      <c r="M183" t="s">
        <v>1303</v>
      </c>
      <c r="N183">
        <v>20776</v>
      </c>
      <c r="O183">
        <v>10462</v>
      </c>
      <c r="P183" t="s">
        <v>1310</v>
      </c>
      <c r="Q183" t="s">
        <v>1315</v>
      </c>
      <c r="S183" t="s">
        <v>1336</v>
      </c>
      <c r="W183" t="s">
        <v>1366</v>
      </c>
      <c r="AA183">
        <v>0</v>
      </c>
      <c r="AB183">
        <v>0</v>
      </c>
      <c r="AD183">
        <v>0</v>
      </c>
      <c r="AE183">
        <v>0</v>
      </c>
      <c r="AF183">
        <v>0</v>
      </c>
      <c r="AG183">
        <v>0</v>
      </c>
    </row>
    <row r="184" spans="1:33">
      <c r="A184" s="1">
        <f>HYPERLINK("https://lsnyc.legalserver.org/matter/dynamic-profile/view/1909537","19-1909537")</f>
        <v>0</v>
      </c>
      <c r="B184" t="s">
        <v>36</v>
      </c>
      <c r="C184" t="s">
        <v>46</v>
      </c>
      <c r="D184" t="s">
        <v>238</v>
      </c>
      <c r="E184" t="s">
        <v>769</v>
      </c>
      <c r="F184">
        <v>2094</v>
      </c>
      <c r="G184" t="s">
        <v>1209</v>
      </c>
      <c r="I184" t="s">
        <v>1298</v>
      </c>
      <c r="J184">
        <v>1</v>
      </c>
      <c r="K184">
        <v>0</v>
      </c>
      <c r="L184">
        <v>1</v>
      </c>
      <c r="M184" t="s">
        <v>1304</v>
      </c>
      <c r="N184">
        <v>80000</v>
      </c>
      <c r="O184">
        <v>10456</v>
      </c>
      <c r="P184" t="s">
        <v>1310</v>
      </c>
      <c r="Q184" t="s">
        <v>1320</v>
      </c>
      <c r="S184" t="s">
        <v>1337</v>
      </c>
      <c r="W184" t="s">
        <v>1366</v>
      </c>
      <c r="AA184">
        <v>0</v>
      </c>
      <c r="AB184">
        <v>0</v>
      </c>
      <c r="AD184">
        <v>0</v>
      </c>
      <c r="AE184">
        <v>0</v>
      </c>
      <c r="AF184">
        <v>0</v>
      </c>
      <c r="AG184">
        <v>0</v>
      </c>
    </row>
    <row r="185" spans="1:33">
      <c r="A185" s="1">
        <f>HYPERLINK("https://lsnyc.legalserver.org/matter/dynamic-profile/view/1907070","19-1907070")</f>
        <v>0</v>
      </c>
      <c r="B185" t="s">
        <v>35</v>
      </c>
      <c r="C185" t="s">
        <v>61</v>
      </c>
      <c r="D185" t="s">
        <v>239</v>
      </c>
      <c r="E185" t="s">
        <v>770</v>
      </c>
      <c r="F185">
        <v>2091</v>
      </c>
      <c r="G185" t="s">
        <v>1188</v>
      </c>
      <c r="I185" t="s">
        <v>1298</v>
      </c>
      <c r="J185">
        <v>1</v>
      </c>
      <c r="K185">
        <v>2</v>
      </c>
      <c r="L185">
        <v>0</v>
      </c>
      <c r="M185" t="s">
        <v>1302</v>
      </c>
      <c r="N185">
        <v>36688</v>
      </c>
      <c r="O185">
        <v>11207</v>
      </c>
      <c r="P185" t="s">
        <v>1309</v>
      </c>
      <c r="Q185" t="s">
        <v>1314</v>
      </c>
      <c r="R185" t="s">
        <v>1321</v>
      </c>
      <c r="S185" t="s">
        <v>1336</v>
      </c>
      <c r="T185" t="s">
        <v>1335</v>
      </c>
      <c r="U185" t="s">
        <v>1353</v>
      </c>
      <c r="W185" t="s">
        <v>1366</v>
      </c>
      <c r="Y185" t="s">
        <v>1386</v>
      </c>
      <c r="AA185">
        <v>0</v>
      </c>
      <c r="AB185">
        <v>0</v>
      </c>
      <c r="AD185">
        <v>0</v>
      </c>
      <c r="AE185">
        <v>0</v>
      </c>
      <c r="AF185">
        <v>0</v>
      </c>
      <c r="AG185">
        <v>0</v>
      </c>
    </row>
    <row r="186" spans="1:33">
      <c r="A186" s="1">
        <f>HYPERLINK("https://lsnyc.legalserver.org/matter/dynamic-profile/view/1878900","18-1878900")</f>
        <v>0</v>
      </c>
      <c r="B186" t="s">
        <v>36</v>
      </c>
      <c r="C186" t="s">
        <v>52</v>
      </c>
      <c r="D186" t="s">
        <v>240</v>
      </c>
      <c r="E186" t="s">
        <v>771</v>
      </c>
      <c r="F186">
        <v>2094</v>
      </c>
      <c r="G186" t="s">
        <v>1188</v>
      </c>
      <c r="I186" t="s">
        <v>1298</v>
      </c>
      <c r="J186">
        <v>3</v>
      </c>
      <c r="K186">
        <v>2</v>
      </c>
      <c r="L186">
        <v>0</v>
      </c>
      <c r="M186" t="s">
        <v>1301</v>
      </c>
      <c r="N186">
        <v>65000</v>
      </c>
      <c r="O186">
        <v>10466</v>
      </c>
      <c r="P186" t="s">
        <v>1310</v>
      </c>
      <c r="Q186" t="s">
        <v>1328</v>
      </c>
      <c r="S186" t="s">
        <v>1340</v>
      </c>
      <c r="T186" t="s">
        <v>1332</v>
      </c>
      <c r="W186" t="s">
        <v>1360</v>
      </c>
      <c r="Y186" t="s">
        <v>1362</v>
      </c>
      <c r="AA186">
        <v>0</v>
      </c>
      <c r="AB186">
        <v>0</v>
      </c>
      <c r="AD186">
        <v>0</v>
      </c>
      <c r="AE186">
        <v>0</v>
      </c>
      <c r="AF186">
        <v>0</v>
      </c>
      <c r="AG186">
        <v>0</v>
      </c>
    </row>
    <row r="187" spans="1:33">
      <c r="A187" s="1">
        <f>HYPERLINK("https://lsnyc.legalserver.org/matter/dynamic-profile/view/1908903","19-1908903")</f>
        <v>0</v>
      </c>
      <c r="B187" t="s">
        <v>36</v>
      </c>
      <c r="C187" t="s">
        <v>46</v>
      </c>
      <c r="D187" t="s">
        <v>241</v>
      </c>
      <c r="E187" t="s">
        <v>723</v>
      </c>
      <c r="F187">
        <v>2094</v>
      </c>
      <c r="G187" t="s">
        <v>1209</v>
      </c>
      <c r="I187" t="s">
        <v>1298</v>
      </c>
      <c r="J187">
        <v>1</v>
      </c>
      <c r="K187">
        <v>0</v>
      </c>
      <c r="L187">
        <v>0</v>
      </c>
      <c r="M187" t="s">
        <v>1301</v>
      </c>
      <c r="N187">
        <v>30000</v>
      </c>
      <c r="O187">
        <v>10030</v>
      </c>
      <c r="P187" t="s">
        <v>1311</v>
      </c>
      <c r="Q187" t="s">
        <v>1323</v>
      </c>
      <c r="R187" t="s">
        <v>1326</v>
      </c>
      <c r="S187" t="s">
        <v>1336</v>
      </c>
      <c r="W187" t="s">
        <v>1366</v>
      </c>
      <c r="AA187">
        <v>0</v>
      </c>
      <c r="AB187">
        <v>0</v>
      </c>
      <c r="AD187">
        <v>0</v>
      </c>
      <c r="AE187">
        <v>0</v>
      </c>
      <c r="AF187">
        <v>0</v>
      </c>
      <c r="AG187">
        <v>0</v>
      </c>
    </row>
    <row r="188" spans="1:33">
      <c r="A188" s="1">
        <f>HYPERLINK("https://lsnyc.legalserver.org/matter/dynamic-profile/view/1908915","19-1908915")</f>
        <v>0</v>
      </c>
      <c r="B188" t="s">
        <v>36</v>
      </c>
      <c r="C188" t="s">
        <v>46</v>
      </c>
      <c r="D188" t="s">
        <v>242</v>
      </c>
      <c r="E188" t="s">
        <v>772</v>
      </c>
      <c r="F188">
        <v>2094</v>
      </c>
      <c r="I188" t="s">
        <v>1298</v>
      </c>
      <c r="J188">
        <v>4</v>
      </c>
      <c r="K188">
        <v>1</v>
      </c>
      <c r="L188">
        <v>0</v>
      </c>
      <c r="M188" t="s">
        <v>1302</v>
      </c>
      <c r="N188">
        <v>130000</v>
      </c>
      <c r="O188">
        <v>10472</v>
      </c>
      <c r="P188" t="s">
        <v>1310</v>
      </c>
      <c r="Q188" t="s">
        <v>1329</v>
      </c>
      <c r="R188" t="s">
        <v>1326</v>
      </c>
      <c r="S188" t="s">
        <v>1336</v>
      </c>
      <c r="W188" t="s">
        <v>1366</v>
      </c>
      <c r="AA188">
        <v>0</v>
      </c>
      <c r="AB188">
        <v>0</v>
      </c>
      <c r="AD188">
        <v>0</v>
      </c>
      <c r="AE188">
        <v>0</v>
      </c>
      <c r="AF188">
        <v>0</v>
      </c>
      <c r="AG188">
        <v>0</v>
      </c>
    </row>
    <row r="189" spans="1:33">
      <c r="A189" s="1">
        <f>HYPERLINK("https://lsnyc.legalserver.org/matter/dynamic-profile/view/1908955","19-1908955")</f>
        <v>0</v>
      </c>
      <c r="B189" t="s">
        <v>36</v>
      </c>
      <c r="C189" t="s">
        <v>46</v>
      </c>
      <c r="D189" t="s">
        <v>243</v>
      </c>
      <c r="E189" t="s">
        <v>773</v>
      </c>
      <c r="F189">
        <v>2094</v>
      </c>
      <c r="G189" t="s">
        <v>1222</v>
      </c>
      <c r="I189" t="s">
        <v>1298</v>
      </c>
      <c r="J189">
        <v>2</v>
      </c>
      <c r="K189">
        <v>0</v>
      </c>
      <c r="L189">
        <v>0</v>
      </c>
      <c r="M189" t="s">
        <v>1302</v>
      </c>
      <c r="N189">
        <v>48000</v>
      </c>
      <c r="O189">
        <v>10453</v>
      </c>
      <c r="P189" t="s">
        <v>1310</v>
      </c>
      <c r="Q189" t="s">
        <v>1319</v>
      </c>
      <c r="R189" t="s">
        <v>1320</v>
      </c>
      <c r="S189" t="s">
        <v>1337</v>
      </c>
      <c r="W189" t="s">
        <v>1366</v>
      </c>
      <c r="AA189">
        <v>0</v>
      </c>
      <c r="AB189">
        <v>0</v>
      </c>
      <c r="AD189">
        <v>0</v>
      </c>
      <c r="AE189">
        <v>0</v>
      </c>
      <c r="AF189">
        <v>0</v>
      </c>
      <c r="AG189">
        <v>0</v>
      </c>
    </row>
    <row r="190" spans="1:33">
      <c r="A190" s="1">
        <f>HYPERLINK("https://lsnyc.legalserver.org/matter/dynamic-profile/view/1893272","19-1893272")</f>
        <v>0</v>
      </c>
      <c r="B190" t="s">
        <v>34</v>
      </c>
      <c r="C190" t="s">
        <v>54</v>
      </c>
      <c r="D190" t="s">
        <v>244</v>
      </c>
      <c r="E190" t="s">
        <v>774</v>
      </c>
      <c r="F190">
        <v>2093</v>
      </c>
      <c r="G190" t="s">
        <v>1198</v>
      </c>
      <c r="I190" t="s">
        <v>1298</v>
      </c>
      <c r="J190">
        <v>2</v>
      </c>
      <c r="K190">
        <v>0</v>
      </c>
      <c r="L190">
        <v>1</v>
      </c>
      <c r="M190" t="s">
        <v>1301</v>
      </c>
      <c r="N190">
        <v>28670.2</v>
      </c>
      <c r="O190">
        <v>11412</v>
      </c>
      <c r="P190" t="s">
        <v>1308</v>
      </c>
      <c r="Q190" t="s">
        <v>1318</v>
      </c>
      <c r="S190" t="s">
        <v>1334</v>
      </c>
      <c r="W190" t="s">
        <v>1368</v>
      </c>
      <c r="AA190">
        <v>0</v>
      </c>
      <c r="AB190">
        <v>0</v>
      </c>
      <c r="AD190">
        <v>0</v>
      </c>
      <c r="AE190">
        <v>0</v>
      </c>
      <c r="AF190">
        <v>0</v>
      </c>
      <c r="AG190">
        <v>0</v>
      </c>
    </row>
    <row r="191" spans="1:33">
      <c r="A191" s="1">
        <f>HYPERLINK("https://lsnyc.legalserver.org/matter/dynamic-profile/view/1905156","19-1905156")</f>
        <v>0</v>
      </c>
      <c r="B191" t="s">
        <v>34</v>
      </c>
      <c r="C191" t="s">
        <v>54</v>
      </c>
      <c r="D191" t="s">
        <v>245</v>
      </c>
      <c r="E191" t="s">
        <v>338</v>
      </c>
      <c r="F191">
        <v>2093</v>
      </c>
      <c r="G191" t="s">
        <v>1182</v>
      </c>
      <c r="I191" t="s">
        <v>1298</v>
      </c>
      <c r="J191">
        <v>4</v>
      </c>
      <c r="K191">
        <v>1</v>
      </c>
      <c r="L191">
        <v>0</v>
      </c>
      <c r="M191" t="s">
        <v>1302</v>
      </c>
      <c r="N191">
        <v>170000</v>
      </c>
      <c r="O191">
        <v>11412</v>
      </c>
      <c r="P191" t="s">
        <v>1308</v>
      </c>
      <c r="Q191" t="s">
        <v>1314</v>
      </c>
      <c r="S191" t="s">
        <v>1332</v>
      </c>
      <c r="W191" t="s">
        <v>1361</v>
      </c>
      <c r="AA191">
        <v>0</v>
      </c>
      <c r="AB191">
        <v>0</v>
      </c>
      <c r="AD191">
        <v>0</v>
      </c>
      <c r="AE191">
        <v>0</v>
      </c>
      <c r="AF191">
        <v>0</v>
      </c>
      <c r="AG191">
        <v>0</v>
      </c>
    </row>
    <row r="192" spans="1:33">
      <c r="A192" s="1">
        <f>HYPERLINK("https://lsnyc.legalserver.org/matter/dynamic-profile/view/1905493","19-1905493")</f>
        <v>0</v>
      </c>
      <c r="B192" t="s">
        <v>34</v>
      </c>
      <c r="C192" t="s">
        <v>54</v>
      </c>
      <c r="D192" t="s">
        <v>246</v>
      </c>
      <c r="E192" t="s">
        <v>775</v>
      </c>
      <c r="F192">
        <v>2093</v>
      </c>
      <c r="G192" t="s">
        <v>1206</v>
      </c>
      <c r="I192" t="s">
        <v>1298</v>
      </c>
      <c r="J192">
        <v>2</v>
      </c>
      <c r="K192">
        <v>0</v>
      </c>
      <c r="L192">
        <v>0</v>
      </c>
      <c r="N192">
        <v>64000</v>
      </c>
      <c r="O192">
        <v>11422</v>
      </c>
      <c r="P192" t="s">
        <v>1308</v>
      </c>
      <c r="Q192" t="s">
        <v>1317</v>
      </c>
      <c r="S192" t="s">
        <v>1332</v>
      </c>
      <c r="W192" t="s">
        <v>1361</v>
      </c>
      <c r="AA192">
        <v>0</v>
      </c>
      <c r="AB192">
        <v>0</v>
      </c>
      <c r="AD192">
        <v>0</v>
      </c>
      <c r="AE192">
        <v>0</v>
      </c>
      <c r="AF192">
        <v>0</v>
      </c>
      <c r="AG192">
        <v>0</v>
      </c>
    </row>
    <row r="193" spans="1:33">
      <c r="A193" s="1">
        <f>HYPERLINK("https://lsnyc.legalserver.org/matter/dynamic-profile/view/1906011","19-1906011")</f>
        <v>0</v>
      </c>
      <c r="B193" t="s">
        <v>34</v>
      </c>
      <c r="C193" t="s">
        <v>54</v>
      </c>
      <c r="D193" t="s">
        <v>247</v>
      </c>
      <c r="E193" t="s">
        <v>776</v>
      </c>
      <c r="F193">
        <v>2093</v>
      </c>
      <c r="G193" t="s">
        <v>1207</v>
      </c>
      <c r="I193" t="s">
        <v>1298</v>
      </c>
      <c r="J193">
        <v>1</v>
      </c>
      <c r="K193">
        <v>0</v>
      </c>
      <c r="L193">
        <v>0</v>
      </c>
      <c r="M193" t="s">
        <v>1301</v>
      </c>
      <c r="N193">
        <v>6000</v>
      </c>
      <c r="O193">
        <v>11429</v>
      </c>
      <c r="P193" t="s">
        <v>1308</v>
      </c>
      <c r="Q193" t="s">
        <v>1315</v>
      </c>
      <c r="S193" t="s">
        <v>1336</v>
      </c>
      <c r="W193" t="s">
        <v>1366</v>
      </c>
      <c r="AA193">
        <v>0</v>
      </c>
      <c r="AB193">
        <v>0</v>
      </c>
      <c r="AD193">
        <v>0</v>
      </c>
      <c r="AE193">
        <v>0</v>
      </c>
      <c r="AF193">
        <v>0</v>
      </c>
      <c r="AG193">
        <v>0</v>
      </c>
    </row>
    <row r="194" spans="1:33">
      <c r="A194" s="1">
        <f>HYPERLINK("https://lsnyc.legalserver.org/matter/dynamic-profile/view/1906969","19-1906969")</f>
        <v>0</v>
      </c>
      <c r="B194" t="s">
        <v>34</v>
      </c>
      <c r="C194" t="s">
        <v>54</v>
      </c>
      <c r="D194" t="s">
        <v>248</v>
      </c>
      <c r="E194" t="s">
        <v>100</v>
      </c>
      <c r="F194">
        <v>2093</v>
      </c>
      <c r="G194" t="s">
        <v>1230</v>
      </c>
      <c r="I194" t="s">
        <v>1298</v>
      </c>
      <c r="J194">
        <v>1</v>
      </c>
      <c r="K194">
        <v>1</v>
      </c>
      <c r="L194">
        <v>0</v>
      </c>
      <c r="M194" t="s">
        <v>1301</v>
      </c>
      <c r="N194">
        <v>91000</v>
      </c>
      <c r="O194">
        <v>11422</v>
      </c>
      <c r="P194" t="s">
        <v>1308</v>
      </c>
      <c r="Q194" t="s">
        <v>1315</v>
      </c>
      <c r="S194" t="s">
        <v>1336</v>
      </c>
      <c r="W194" t="s">
        <v>1380</v>
      </c>
      <c r="AA194">
        <v>0</v>
      </c>
      <c r="AB194">
        <v>0</v>
      </c>
      <c r="AD194">
        <v>0</v>
      </c>
      <c r="AE194">
        <v>0</v>
      </c>
      <c r="AF194">
        <v>0</v>
      </c>
      <c r="AG194">
        <v>0</v>
      </c>
    </row>
    <row r="195" spans="1:33">
      <c r="A195" s="1">
        <f>HYPERLINK("https://lsnyc.legalserver.org/matter/dynamic-profile/view/1907858","19-1907858")</f>
        <v>0</v>
      </c>
      <c r="B195" t="s">
        <v>34</v>
      </c>
      <c r="C195" t="s">
        <v>54</v>
      </c>
      <c r="D195" t="s">
        <v>249</v>
      </c>
      <c r="E195" t="s">
        <v>777</v>
      </c>
      <c r="F195">
        <v>2093</v>
      </c>
      <c r="G195" t="s">
        <v>1237</v>
      </c>
      <c r="I195" t="s">
        <v>1298</v>
      </c>
      <c r="J195">
        <v>1</v>
      </c>
      <c r="K195">
        <v>0</v>
      </c>
      <c r="L195">
        <v>0</v>
      </c>
      <c r="M195" t="s">
        <v>1301</v>
      </c>
      <c r="N195">
        <v>71000</v>
      </c>
      <c r="O195">
        <v>11691</v>
      </c>
      <c r="P195" t="s">
        <v>1308</v>
      </c>
      <c r="Q195" t="s">
        <v>1321</v>
      </c>
      <c r="S195" t="s">
        <v>1336</v>
      </c>
      <c r="W195" t="s">
        <v>1366</v>
      </c>
      <c r="AA195">
        <v>0</v>
      </c>
      <c r="AB195">
        <v>0</v>
      </c>
      <c r="AD195">
        <v>0</v>
      </c>
      <c r="AE195">
        <v>0</v>
      </c>
      <c r="AF195">
        <v>0</v>
      </c>
      <c r="AG195">
        <v>0</v>
      </c>
    </row>
    <row r="196" spans="1:33">
      <c r="A196" s="1">
        <f>HYPERLINK("https://lsnyc.legalserver.org/matter/dynamic-profile/view/1891285","19-1891285")</f>
        <v>0</v>
      </c>
      <c r="B196" t="s">
        <v>35</v>
      </c>
      <c r="C196" t="s">
        <v>40</v>
      </c>
      <c r="D196" t="s">
        <v>192</v>
      </c>
      <c r="E196" t="s">
        <v>633</v>
      </c>
      <c r="F196">
        <v>2091</v>
      </c>
      <c r="G196" t="s">
        <v>1180</v>
      </c>
      <c r="I196" t="s">
        <v>1298</v>
      </c>
      <c r="J196">
        <v>3</v>
      </c>
      <c r="K196">
        <v>3</v>
      </c>
      <c r="L196">
        <v>0</v>
      </c>
      <c r="N196">
        <v>60000</v>
      </c>
      <c r="O196">
        <v>11210</v>
      </c>
      <c r="P196" t="s">
        <v>1309</v>
      </c>
      <c r="Q196" t="s">
        <v>1315</v>
      </c>
      <c r="S196" t="s">
        <v>1332</v>
      </c>
      <c r="T196" t="s">
        <v>1347</v>
      </c>
      <c r="W196" t="s">
        <v>1365</v>
      </c>
      <c r="Y196" t="s">
        <v>1381</v>
      </c>
      <c r="AA196">
        <v>0</v>
      </c>
      <c r="AB196">
        <v>0</v>
      </c>
      <c r="AD196">
        <v>0</v>
      </c>
      <c r="AE196">
        <v>0</v>
      </c>
      <c r="AF196">
        <v>0</v>
      </c>
      <c r="AG196">
        <v>0</v>
      </c>
    </row>
    <row r="197" spans="1:33">
      <c r="A197" s="1">
        <f>HYPERLINK("https://lsnyc.legalserver.org/matter/dynamic-profile/view/1893354","19-1893354")</f>
        <v>0</v>
      </c>
      <c r="B197" t="s">
        <v>35</v>
      </c>
      <c r="C197" t="s">
        <v>61</v>
      </c>
      <c r="D197" t="s">
        <v>250</v>
      </c>
      <c r="E197" t="s">
        <v>778</v>
      </c>
      <c r="F197">
        <v>2091</v>
      </c>
      <c r="G197" t="s">
        <v>1213</v>
      </c>
      <c r="I197" t="s">
        <v>1298</v>
      </c>
      <c r="J197">
        <v>2</v>
      </c>
      <c r="K197">
        <v>0</v>
      </c>
      <c r="L197">
        <v>0</v>
      </c>
      <c r="M197" t="s">
        <v>1302</v>
      </c>
      <c r="N197">
        <v>84800</v>
      </c>
      <c r="O197">
        <v>11203</v>
      </c>
      <c r="P197" t="s">
        <v>1309</v>
      </c>
      <c r="Q197" t="s">
        <v>1315</v>
      </c>
      <c r="S197" t="s">
        <v>1336</v>
      </c>
      <c r="W197" t="s">
        <v>1366</v>
      </c>
      <c r="AA197">
        <v>0</v>
      </c>
      <c r="AB197">
        <v>0</v>
      </c>
      <c r="AD197">
        <v>0</v>
      </c>
      <c r="AE197">
        <v>0</v>
      </c>
      <c r="AF197">
        <v>0</v>
      </c>
      <c r="AG197">
        <v>0</v>
      </c>
    </row>
    <row r="198" spans="1:33">
      <c r="A198" s="1">
        <f>HYPERLINK("https://lsnyc.legalserver.org/matter/dynamic-profile/view/1896919","19-1896919")</f>
        <v>0</v>
      </c>
      <c r="B198" t="s">
        <v>34</v>
      </c>
      <c r="C198" t="s">
        <v>64</v>
      </c>
      <c r="D198" t="s">
        <v>251</v>
      </c>
      <c r="E198" t="s">
        <v>779</v>
      </c>
      <c r="F198">
        <v>2093</v>
      </c>
      <c r="G198" t="s">
        <v>1215</v>
      </c>
      <c r="I198" t="s">
        <v>1298</v>
      </c>
      <c r="J198">
        <v>2</v>
      </c>
      <c r="K198">
        <v>2</v>
      </c>
      <c r="L198">
        <v>0</v>
      </c>
      <c r="M198" t="s">
        <v>1301</v>
      </c>
      <c r="N198">
        <v>45000</v>
      </c>
      <c r="O198">
        <v>11411</v>
      </c>
      <c r="P198" t="s">
        <v>1308</v>
      </c>
      <c r="Q198" t="s">
        <v>1315</v>
      </c>
      <c r="S198" t="s">
        <v>1332</v>
      </c>
      <c r="W198" t="s">
        <v>1361</v>
      </c>
      <c r="AA198">
        <v>0</v>
      </c>
      <c r="AB198">
        <v>0</v>
      </c>
      <c r="AD198">
        <v>0</v>
      </c>
      <c r="AE198">
        <v>0</v>
      </c>
      <c r="AF198">
        <v>0</v>
      </c>
      <c r="AG198">
        <v>0</v>
      </c>
    </row>
    <row r="199" spans="1:33">
      <c r="A199" s="1">
        <f>HYPERLINK("https://lsnyc.legalserver.org/matter/dynamic-profile/view/1905995","19-1905995")</f>
        <v>0</v>
      </c>
      <c r="B199" t="s">
        <v>34</v>
      </c>
      <c r="C199" t="s">
        <v>64</v>
      </c>
      <c r="D199" t="s">
        <v>252</v>
      </c>
      <c r="E199" t="s">
        <v>780</v>
      </c>
      <c r="F199">
        <v>2093</v>
      </c>
      <c r="I199" t="s">
        <v>1298</v>
      </c>
      <c r="J199">
        <v>1</v>
      </c>
      <c r="K199">
        <v>0</v>
      </c>
      <c r="L199">
        <v>0</v>
      </c>
      <c r="M199" t="s">
        <v>1302</v>
      </c>
      <c r="N199">
        <v>27625.52</v>
      </c>
      <c r="O199">
        <v>6516</v>
      </c>
      <c r="P199" t="s">
        <v>1312</v>
      </c>
      <c r="Q199" t="s">
        <v>1325</v>
      </c>
      <c r="S199" t="s">
        <v>1336</v>
      </c>
      <c r="W199" t="s">
        <v>1366</v>
      </c>
      <c r="AA199">
        <v>0</v>
      </c>
      <c r="AB199">
        <v>0</v>
      </c>
      <c r="AD199">
        <v>0</v>
      </c>
      <c r="AE199">
        <v>0</v>
      </c>
      <c r="AF199">
        <v>0</v>
      </c>
      <c r="AG199">
        <v>0</v>
      </c>
    </row>
    <row r="200" spans="1:33">
      <c r="A200" s="1">
        <f>HYPERLINK("https://lsnyc.legalserver.org/matter/dynamic-profile/view/1877839","18-1877839")</f>
        <v>0</v>
      </c>
      <c r="B200" t="s">
        <v>34</v>
      </c>
      <c r="C200" t="s">
        <v>42</v>
      </c>
      <c r="D200" t="s">
        <v>253</v>
      </c>
      <c r="E200" t="s">
        <v>781</v>
      </c>
      <c r="F200">
        <v>2093</v>
      </c>
      <c r="G200" t="s">
        <v>1238</v>
      </c>
      <c r="I200" t="s">
        <v>1298</v>
      </c>
      <c r="J200">
        <v>1</v>
      </c>
      <c r="K200">
        <v>0</v>
      </c>
      <c r="L200">
        <v>0</v>
      </c>
      <c r="M200" t="s">
        <v>1301</v>
      </c>
      <c r="N200">
        <v>31428</v>
      </c>
      <c r="O200">
        <v>11434</v>
      </c>
      <c r="P200" t="s">
        <v>1308</v>
      </c>
      <c r="Q200" t="s">
        <v>1319</v>
      </c>
      <c r="S200" t="s">
        <v>1337</v>
      </c>
      <c r="W200" t="s">
        <v>1366</v>
      </c>
      <c r="AA200">
        <v>0</v>
      </c>
      <c r="AB200">
        <v>0</v>
      </c>
      <c r="AD200">
        <v>0</v>
      </c>
      <c r="AE200">
        <v>0</v>
      </c>
      <c r="AF200">
        <v>0</v>
      </c>
      <c r="AG200">
        <v>0</v>
      </c>
    </row>
    <row r="201" spans="1:33">
      <c r="A201" s="1">
        <f>HYPERLINK("https://lsnyc.legalserver.org/matter/dynamic-profile/view/1908059","19-1908059")</f>
        <v>0</v>
      </c>
      <c r="B201" t="s">
        <v>34</v>
      </c>
      <c r="C201" t="s">
        <v>64</v>
      </c>
      <c r="D201" t="s">
        <v>254</v>
      </c>
      <c r="E201" t="s">
        <v>782</v>
      </c>
      <c r="F201">
        <v>2093</v>
      </c>
      <c r="I201" t="s">
        <v>1298</v>
      </c>
      <c r="J201">
        <v>2</v>
      </c>
      <c r="K201">
        <v>0</v>
      </c>
      <c r="L201">
        <v>0</v>
      </c>
      <c r="M201" t="s">
        <v>1301</v>
      </c>
      <c r="N201">
        <v>96000</v>
      </c>
      <c r="O201">
        <v>11434</v>
      </c>
      <c r="P201" t="s">
        <v>1308</v>
      </c>
      <c r="Q201" t="s">
        <v>1323</v>
      </c>
      <c r="S201" t="s">
        <v>1336</v>
      </c>
      <c r="W201" t="s">
        <v>1366</v>
      </c>
      <c r="AA201">
        <v>0</v>
      </c>
      <c r="AB201">
        <v>0</v>
      </c>
      <c r="AD201">
        <v>0</v>
      </c>
      <c r="AE201">
        <v>0</v>
      </c>
      <c r="AF201">
        <v>0</v>
      </c>
      <c r="AG201">
        <v>0</v>
      </c>
    </row>
    <row r="202" spans="1:33">
      <c r="A202" s="1">
        <f>HYPERLINK("https://lsnyc.legalserver.org/matter/dynamic-profile/view/1913310","19-1913310")</f>
        <v>0</v>
      </c>
      <c r="B202" t="s">
        <v>35</v>
      </c>
      <c r="C202" t="s">
        <v>51</v>
      </c>
      <c r="D202" t="s">
        <v>217</v>
      </c>
      <c r="E202" t="s">
        <v>783</v>
      </c>
      <c r="F202">
        <v>2091</v>
      </c>
      <c r="G202" t="s">
        <v>1185</v>
      </c>
      <c r="I202" t="s">
        <v>1298</v>
      </c>
      <c r="J202">
        <v>4</v>
      </c>
      <c r="K202">
        <v>2</v>
      </c>
      <c r="L202">
        <v>1</v>
      </c>
      <c r="M202" t="s">
        <v>1302</v>
      </c>
      <c r="N202">
        <v>67272</v>
      </c>
      <c r="O202">
        <v>11203</v>
      </c>
      <c r="P202" t="s">
        <v>1309</v>
      </c>
      <c r="Q202" t="s">
        <v>1315</v>
      </c>
      <c r="S202" t="s">
        <v>1335</v>
      </c>
      <c r="T202" t="s">
        <v>1336</v>
      </c>
      <c r="W202" t="s">
        <v>1381</v>
      </c>
      <c r="Y202" t="s">
        <v>1366</v>
      </c>
      <c r="AA202">
        <v>0</v>
      </c>
      <c r="AB202">
        <v>0</v>
      </c>
      <c r="AD202">
        <v>0</v>
      </c>
      <c r="AE202">
        <v>0</v>
      </c>
      <c r="AF202">
        <v>0</v>
      </c>
      <c r="AG202">
        <v>0</v>
      </c>
    </row>
    <row r="203" spans="1:33">
      <c r="A203" s="1">
        <f>HYPERLINK("https://lsnyc.legalserver.org/matter/dynamic-profile/view/1904586","19-1904586")</f>
        <v>0</v>
      </c>
      <c r="B203" t="s">
        <v>34</v>
      </c>
      <c r="C203" t="s">
        <v>54</v>
      </c>
      <c r="D203" t="s">
        <v>255</v>
      </c>
      <c r="E203" t="s">
        <v>784</v>
      </c>
      <c r="F203">
        <v>2093</v>
      </c>
      <c r="G203" t="s">
        <v>1239</v>
      </c>
      <c r="I203" t="s">
        <v>1298</v>
      </c>
      <c r="J203">
        <v>4</v>
      </c>
      <c r="K203">
        <v>1</v>
      </c>
      <c r="L203">
        <v>1</v>
      </c>
      <c r="M203" t="s">
        <v>1302</v>
      </c>
      <c r="N203">
        <v>81600</v>
      </c>
      <c r="O203">
        <v>11413</v>
      </c>
      <c r="P203" t="s">
        <v>1308</v>
      </c>
      <c r="Q203" t="s">
        <v>1315</v>
      </c>
      <c r="R203" t="s">
        <v>1321</v>
      </c>
      <c r="S203" t="s">
        <v>1336</v>
      </c>
      <c r="U203" t="s">
        <v>1353</v>
      </c>
      <c r="W203" t="s">
        <v>1366</v>
      </c>
      <c r="AA203">
        <v>2726.06</v>
      </c>
      <c r="AB203">
        <v>0</v>
      </c>
      <c r="AD203">
        <v>0</v>
      </c>
      <c r="AE203">
        <v>0</v>
      </c>
      <c r="AF203">
        <v>0</v>
      </c>
      <c r="AG203">
        <v>0</v>
      </c>
    </row>
    <row r="204" spans="1:33">
      <c r="A204" s="1">
        <f>HYPERLINK("https://lsnyc.legalserver.org/matter/dynamic-profile/view/1872185","18-1872185")</f>
        <v>0</v>
      </c>
      <c r="B204" t="s">
        <v>36</v>
      </c>
      <c r="C204" t="s">
        <v>59</v>
      </c>
      <c r="D204" t="s">
        <v>256</v>
      </c>
      <c r="E204" t="s">
        <v>785</v>
      </c>
      <c r="F204">
        <v>2094</v>
      </c>
      <c r="G204" t="s">
        <v>1240</v>
      </c>
      <c r="I204" t="s">
        <v>1298</v>
      </c>
      <c r="J204">
        <v>2</v>
      </c>
      <c r="K204">
        <v>0</v>
      </c>
      <c r="L204">
        <v>0</v>
      </c>
      <c r="M204" t="s">
        <v>1302</v>
      </c>
      <c r="N204">
        <v>65000</v>
      </c>
      <c r="O204">
        <v>10472</v>
      </c>
      <c r="P204" t="s">
        <v>1310</v>
      </c>
      <c r="Q204" t="s">
        <v>1315</v>
      </c>
      <c r="R204" t="s">
        <v>1331</v>
      </c>
      <c r="S204" t="s">
        <v>1337</v>
      </c>
      <c r="T204" t="s">
        <v>1340</v>
      </c>
      <c r="W204" t="s">
        <v>1366</v>
      </c>
      <c r="Y204" t="s">
        <v>1374</v>
      </c>
      <c r="AA204">
        <v>0</v>
      </c>
      <c r="AB204">
        <v>0</v>
      </c>
      <c r="AD204">
        <v>0</v>
      </c>
      <c r="AE204">
        <v>0</v>
      </c>
      <c r="AF204">
        <v>0</v>
      </c>
      <c r="AG204">
        <v>0</v>
      </c>
    </row>
    <row r="205" spans="1:33">
      <c r="A205" s="1">
        <f>HYPERLINK("https://lsnyc.legalserver.org/matter/dynamic-profile/view/1901081","19-1901081")</f>
        <v>0</v>
      </c>
      <c r="B205" t="s">
        <v>36</v>
      </c>
      <c r="C205" t="s">
        <v>59</v>
      </c>
      <c r="D205" t="s">
        <v>257</v>
      </c>
      <c r="E205" t="s">
        <v>786</v>
      </c>
      <c r="F205">
        <v>2094</v>
      </c>
      <c r="G205" t="s">
        <v>1209</v>
      </c>
      <c r="I205" t="s">
        <v>1298</v>
      </c>
      <c r="J205">
        <v>2</v>
      </c>
      <c r="K205">
        <v>2</v>
      </c>
      <c r="L205">
        <v>1</v>
      </c>
      <c r="M205" t="s">
        <v>1302</v>
      </c>
      <c r="N205">
        <v>31128</v>
      </c>
      <c r="O205">
        <v>10469</v>
      </c>
      <c r="P205" t="s">
        <v>1310</v>
      </c>
      <c r="Q205" t="s">
        <v>1324</v>
      </c>
      <c r="S205" t="s">
        <v>1337</v>
      </c>
      <c r="T205" t="s">
        <v>1339</v>
      </c>
      <c r="W205" t="s">
        <v>1366</v>
      </c>
      <c r="Y205" t="s">
        <v>1368</v>
      </c>
      <c r="AA205">
        <v>0</v>
      </c>
      <c r="AB205">
        <v>0</v>
      </c>
      <c r="AD205">
        <v>0</v>
      </c>
      <c r="AE205">
        <v>0</v>
      </c>
      <c r="AF205">
        <v>0</v>
      </c>
      <c r="AG205">
        <v>0</v>
      </c>
    </row>
    <row r="206" spans="1:33">
      <c r="A206" s="1">
        <f>HYPERLINK("https://lsnyc.legalserver.org/matter/dynamic-profile/view/1892315","19-1892315")</f>
        <v>0</v>
      </c>
      <c r="B206" t="s">
        <v>36</v>
      </c>
      <c r="C206" t="s">
        <v>52</v>
      </c>
      <c r="D206" t="s">
        <v>258</v>
      </c>
      <c r="E206" t="s">
        <v>787</v>
      </c>
      <c r="F206">
        <v>2094</v>
      </c>
      <c r="G206" t="s">
        <v>1196</v>
      </c>
      <c r="I206" t="s">
        <v>1298</v>
      </c>
      <c r="J206">
        <v>1</v>
      </c>
      <c r="K206">
        <v>2</v>
      </c>
      <c r="L206">
        <v>0</v>
      </c>
      <c r="M206" t="s">
        <v>1302</v>
      </c>
      <c r="N206">
        <v>117600</v>
      </c>
      <c r="O206">
        <v>10466</v>
      </c>
      <c r="P206" t="s">
        <v>1310</v>
      </c>
      <c r="Q206" t="s">
        <v>1321</v>
      </c>
      <c r="S206" t="s">
        <v>1332</v>
      </c>
      <c r="T206" t="s">
        <v>1336</v>
      </c>
      <c r="W206" t="s">
        <v>1361</v>
      </c>
      <c r="Y206" t="s">
        <v>1366</v>
      </c>
      <c r="AA206">
        <v>0</v>
      </c>
      <c r="AB206">
        <v>0</v>
      </c>
      <c r="AD206">
        <v>0</v>
      </c>
      <c r="AE206">
        <v>0</v>
      </c>
      <c r="AF206">
        <v>0</v>
      </c>
      <c r="AG206">
        <v>0</v>
      </c>
    </row>
    <row r="207" spans="1:33">
      <c r="A207" s="1">
        <f>HYPERLINK("https://lsnyc.legalserver.org/matter/dynamic-profile/view/1898788","19-1898788")</f>
        <v>0</v>
      </c>
      <c r="B207" t="s">
        <v>36</v>
      </c>
      <c r="C207" t="s">
        <v>46</v>
      </c>
      <c r="D207" t="s">
        <v>259</v>
      </c>
      <c r="E207" t="s">
        <v>788</v>
      </c>
      <c r="F207">
        <v>2094</v>
      </c>
      <c r="G207" t="s">
        <v>1209</v>
      </c>
      <c r="I207" t="s">
        <v>1298</v>
      </c>
      <c r="J207">
        <v>2</v>
      </c>
      <c r="K207">
        <v>0</v>
      </c>
      <c r="L207">
        <v>0</v>
      </c>
      <c r="M207" t="s">
        <v>1303</v>
      </c>
      <c r="N207">
        <v>60000</v>
      </c>
      <c r="O207">
        <v>10462</v>
      </c>
      <c r="P207" t="s">
        <v>1310</v>
      </c>
      <c r="Q207" t="s">
        <v>1319</v>
      </c>
      <c r="S207" t="s">
        <v>1336</v>
      </c>
      <c r="T207" t="s">
        <v>1334</v>
      </c>
      <c r="W207" t="s">
        <v>1366</v>
      </c>
      <c r="AA207">
        <v>0</v>
      </c>
      <c r="AB207">
        <v>0</v>
      </c>
      <c r="AD207">
        <v>0</v>
      </c>
      <c r="AE207">
        <v>0</v>
      </c>
      <c r="AF207">
        <v>0</v>
      </c>
      <c r="AG207">
        <v>0</v>
      </c>
    </row>
    <row r="208" spans="1:33">
      <c r="A208" s="1">
        <f>HYPERLINK("https://lsnyc.legalserver.org/matter/dynamic-profile/view/1911664","19-1911664")</f>
        <v>0</v>
      </c>
      <c r="B208" t="s">
        <v>35</v>
      </c>
      <c r="C208" t="s">
        <v>67</v>
      </c>
      <c r="D208" t="s">
        <v>260</v>
      </c>
      <c r="E208" t="s">
        <v>789</v>
      </c>
      <c r="F208">
        <v>2091</v>
      </c>
      <c r="G208" t="s">
        <v>1185</v>
      </c>
      <c r="I208" t="s">
        <v>1298</v>
      </c>
      <c r="J208">
        <v>2</v>
      </c>
      <c r="K208">
        <v>0</v>
      </c>
      <c r="L208">
        <v>0</v>
      </c>
      <c r="M208" t="s">
        <v>1302</v>
      </c>
      <c r="N208">
        <v>39600</v>
      </c>
      <c r="O208">
        <v>11208</v>
      </c>
      <c r="P208" t="s">
        <v>1309</v>
      </c>
      <c r="Q208" t="s">
        <v>1325</v>
      </c>
      <c r="S208" t="s">
        <v>1336</v>
      </c>
      <c r="W208" t="s">
        <v>1366</v>
      </c>
      <c r="AA208">
        <v>0</v>
      </c>
      <c r="AB208">
        <v>0</v>
      </c>
      <c r="AD208">
        <v>0</v>
      </c>
      <c r="AE208">
        <v>0</v>
      </c>
      <c r="AF208">
        <v>0</v>
      </c>
      <c r="AG208">
        <v>0</v>
      </c>
    </row>
    <row r="209" spans="1:33">
      <c r="A209" s="1">
        <f>HYPERLINK("https://lsnyc.legalserver.org/matter/dynamic-profile/view/1910985","19-1910985")</f>
        <v>0</v>
      </c>
      <c r="B209" t="s">
        <v>35</v>
      </c>
      <c r="C209" t="s">
        <v>67</v>
      </c>
      <c r="D209" t="s">
        <v>261</v>
      </c>
      <c r="E209" t="s">
        <v>790</v>
      </c>
      <c r="F209">
        <v>2091</v>
      </c>
      <c r="I209" t="s">
        <v>1298</v>
      </c>
      <c r="J209">
        <v>1</v>
      </c>
      <c r="K209">
        <v>0</v>
      </c>
      <c r="L209">
        <v>0</v>
      </c>
      <c r="N209">
        <v>30000</v>
      </c>
      <c r="O209">
        <v>11213</v>
      </c>
      <c r="P209" t="s">
        <v>1309</v>
      </c>
      <c r="Q209" t="s">
        <v>1325</v>
      </c>
      <c r="S209" t="s">
        <v>1337</v>
      </c>
      <c r="W209" t="s">
        <v>1366</v>
      </c>
      <c r="AA209">
        <v>0</v>
      </c>
      <c r="AB209">
        <v>0</v>
      </c>
      <c r="AD209">
        <v>0</v>
      </c>
      <c r="AE209">
        <v>0</v>
      </c>
      <c r="AF209">
        <v>0</v>
      </c>
      <c r="AG209">
        <v>0</v>
      </c>
    </row>
    <row r="210" spans="1:33">
      <c r="A210" s="1">
        <f>HYPERLINK("https://lsnyc.legalserver.org/matter/dynamic-profile/view/1912198","19-1912198")</f>
        <v>0</v>
      </c>
      <c r="B210" t="s">
        <v>35</v>
      </c>
      <c r="C210" t="s">
        <v>61</v>
      </c>
      <c r="D210" t="s">
        <v>262</v>
      </c>
      <c r="E210" t="s">
        <v>791</v>
      </c>
      <c r="F210">
        <v>2091</v>
      </c>
      <c r="I210" t="s">
        <v>1298</v>
      </c>
      <c r="J210">
        <v>1</v>
      </c>
      <c r="K210">
        <v>0</v>
      </c>
      <c r="L210">
        <v>0</v>
      </c>
      <c r="M210" t="s">
        <v>1302</v>
      </c>
      <c r="N210">
        <v>2340</v>
      </c>
      <c r="O210">
        <v>11233</v>
      </c>
      <c r="P210" t="s">
        <v>1309</v>
      </c>
      <c r="Q210" t="s">
        <v>1324</v>
      </c>
      <c r="R210" t="s">
        <v>1321</v>
      </c>
      <c r="S210" t="s">
        <v>1337</v>
      </c>
      <c r="AA210">
        <v>0</v>
      </c>
      <c r="AB210">
        <v>0</v>
      </c>
      <c r="AD210">
        <v>0</v>
      </c>
      <c r="AE210">
        <v>0</v>
      </c>
      <c r="AF210">
        <v>0</v>
      </c>
      <c r="AG210">
        <v>0</v>
      </c>
    </row>
    <row r="211" spans="1:33">
      <c r="A211" s="1">
        <f>HYPERLINK("https://lsnyc.legalserver.org/matter/dynamic-profile/view/1911363","19-1911363")</f>
        <v>0</v>
      </c>
      <c r="B211" t="s">
        <v>35</v>
      </c>
      <c r="C211" t="s">
        <v>67</v>
      </c>
      <c r="D211" t="s">
        <v>263</v>
      </c>
      <c r="E211" t="s">
        <v>792</v>
      </c>
      <c r="F211">
        <v>2091</v>
      </c>
      <c r="G211" t="s">
        <v>1210</v>
      </c>
      <c r="I211" t="s">
        <v>1298</v>
      </c>
      <c r="J211">
        <v>2</v>
      </c>
      <c r="K211">
        <v>0</v>
      </c>
      <c r="L211">
        <v>0</v>
      </c>
      <c r="M211" t="s">
        <v>1304</v>
      </c>
      <c r="N211">
        <v>16800</v>
      </c>
      <c r="O211">
        <v>11234</v>
      </c>
      <c r="P211" t="s">
        <v>1309</v>
      </c>
      <c r="Q211" t="s">
        <v>1317</v>
      </c>
      <c r="S211" t="s">
        <v>1337</v>
      </c>
      <c r="W211" t="s">
        <v>1366</v>
      </c>
      <c r="AA211">
        <v>0</v>
      </c>
      <c r="AB211">
        <v>0</v>
      </c>
      <c r="AD211">
        <v>0</v>
      </c>
      <c r="AE211">
        <v>0</v>
      </c>
      <c r="AF211">
        <v>0</v>
      </c>
      <c r="AG211">
        <v>0</v>
      </c>
    </row>
    <row r="212" spans="1:33">
      <c r="A212" s="1">
        <f>HYPERLINK("https://lsnyc.legalserver.org/matter/dynamic-profile/view/1839795","17-1839795")</f>
        <v>0</v>
      </c>
      <c r="B212" t="s">
        <v>35</v>
      </c>
      <c r="C212" t="s">
        <v>61</v>
      </c>
      <c r="D212" t="s">
        <v>264</v>
      </c>
      <c r="E212" t="s">
        <v>793</v>
      </c>
      <c r="F212">
        <v>2091</v>
      </c>
      <c r="G212" t="s">
        <v>1224</v>
      </c>
      <c r="I212" t="s">
        <v>1298</v>
      </c>
      <c r="J212">
        <v>1</v>
      </c>
      <c r="K212">
        <v>0</v>
      </c>
      <c r="L212">
        <v>0</v>
      </c>
      <c r="N212">
        <v>29537.5</v>
      </c>
      <c r="O212">
        <v>11207</v>
      </c>
      <c r="P212" t="s">
        <v>1309</v>
      </c>
      <c r="Q212" t="s">
        <v>1315</v>
      </c>
      <c r="S212" t="s">
        <v>1332</v>
      </c>
      <c r="T212" t="s">
        <v>1333</v>
      </c>
      <c r="U212" t="s">
        <v>1353</v>
      </c>
      <c r="W212" t="s">
        <v>1361</v>
      </c>
      <c r="Y212" t="s">
        <v>1360</v>
      </c>
      <c r="AA212">
        <v>1545.15</v>
      </c>
      <c r="AB212">
        <v>0</v>
      </c>
      <c r="AD212">
        <v>120581</v>
      </c>
      <c r="AE212">
        <v>0</v>
      </c>
      <c r="AF212">
        <v>0</v>
      </c>
      <c r="AG212">
        <v>0</v>
      </c>
    </row>
    <row r="213" spans="1:33">
      <c r="A213" s="1">
        <f>HYPERLINK("https://lsnyc.legalserver.org/matter/dynamic-profile/view/1902089","19-1902089")</f>
        <v>0</v>
      </c>
      <c r="B213" t="s">
        <v>35</v>
      </c>
      <c r="C213" t="s">
        <v>67</v>
      </c>
      <c r="D213" t="s">
        <v>265</v>
      </c>
      <c r="E213" t="s">
        <v>794</v>
      </c>
      <c r="F213">
        <v>2091</v>
      </c>
      <c r="G213" t="s">
        <v>1185</v>
      </c>
      <c r="I213" t="s">
        <v>1298</v>
      </c>
      <c r="J213">
        <v>1</v>
      </c>
      <c r="K213">
        <v>2</v>
      </c>
      <c r="L213">
        <v>1</v>
      </c>
      <c r="M213" t="s">
        <v>1302</v>
      </c>
      <c r="N213">
        <v>9600</v>
      </c>
      <c r="O213">
        <v>11236</v>
      </c>
      <c r="P213" t="s">
        <v>1309</v>
      </c>
      <c r="Q213" t="s">
        <v>1325</v>
      </c>
      <c r="R213" t="s">
        <v>1315</v>
      </c>
      <c r="S213" t="s">
        <v>1337</v>
      </c>
      <c r="W213" t="s">
        <v>1366</v>
      </c>
      <c r="AA213">
        <v>0</v>
      </c>
      <c r="AB213">
        <v>0</v>
      </c>
      <c r="AD213">
        <v>0</v>
      </c>
      <c r="AE213">
        <v>0</v>
      </c>
      <c r="AF213">
        <v>0</v>
      </c>
      <c r="AG213">
        <v>0</v>
      </c>
    </row>
    <row r="214" spans="1:33">
      <c r="A214" s="1">
        <f>HYPERLINK("https://lsnyc.legalserver.org/matter/dynamic-profile/view/0777467","15-0777467")</f>
        <v>0</v>
      </c>
      <c r="B214" t="s">
        <v>35</v>
      </c>
      <c r="C214" t="s">
        <v>55</v>
      </c>
      <c r="D214" t="s">
        <v>266</v>
      </c>
      <c r="E214" t="s">
        <v>795</v>
      </c>
      <c r="F214">
        <v>2091</v>
      </c>
      <c r="G214" t="s">
        <v>1200</v>
      </c>
      <c r="I214" t="s">
        <v>1298</v>
      </c>
      <c r="J214">
        <v>2</v>
      </c>
      <c r="K214">
        <v>0</v>
      </c>
      <c r="L214">
        <v>1</v>
      </c>
      <c r="M214" t="s">
        <v>1301</v>
      </c>
      <c r="N214">
        <v>48790.8</v>
      </c>
      <c r="O214">
        <v>11203</v>
      </c>
      <c r="P214" t="s">
        <v>1309</v>
      </c>
      <c r="Q214" t="s">
        <v>1317</v>
      </c>
      <c r="S214" t="s">
        <v>1333</v>
      </c>
      <c r="T214" t="s">
        <v>1332</v>
      </c>
      <c r="U214" t="s">
        <v>1352</v>
      </c>
      <c r="W214" t="s">
        <v>1363</v>
      </c>
      <c r="Y214" t="s">
        <v>1362</v>
      </c>
      <c r="AA214">
        <v>2130.95</v>
      </c>
      <c r="AB214">
        <v>0</v>
      </c>
      <c r="AD214">
        <v>0</v>
      </c>
      <c r="AE214">
        <v>0</v>
      </c>
      <c r="AF214">
        <v>0</v>
      </c>
      <c r="AG214">
        <v>0</v>
      </c>
    </row>
    <row r="215" spans="1:33">
      <c r="A215" s="1">
        <f>HYPERLINK("https://lsnyc.legalserver.org/matter/dynamic-profile/view/1883048","18-1883048")</f>
        <v>0</v>
      </c>
      <c r="B215" t="s">
        <v>36</v>
      </c>
      <c r="C215" t="s">
        <v>59</v>
      </c>
      <c r="D215" t="s">
        <v>196</v>
      </c>
      <c r="E215" t="s">
        <v>796</v>
      </c>
      <c r="F215">
        <v>2094</v>
      </c>
      <c r="G215" t="s">
        <v>1210</v>
      </c>
      <c r="I215" t="s">
        <v>1298</v>
      </c>
      <c r="J215">
        <v>1</v>
      </c>
      <c r="K215">
        <v>0</v>
      </c>
      <c r="L215">
        <v>0</v>
      </c>
      <c r="M215" t="s">
        <v>1302</v>
      </c>
      <c r="N215">
        <v>60000</v>
      </c>
      <c r="O215">
        <v>10467</v>
      </c>
      <c r="P215" t="s">
        <v>1310</v>
      </c>
      <c r="Q215" t="s">
        <v>1319</v>
      </c>
      <c r="R215" t="s">
        <v>1314</v>
      </c>
      <c r="S215" t="s">
        <v>1340</v>
      </c>
      <c r="T215" t="s">
        <v>1333</v>
      </c>
      <c r="U215" t="s">
        <v>1352</v>
      </c>
      <c r="W215" t="s">
        <v>1360</v>
      </c>
      <c r="Y215" t="s">
        <v>1362</v>
      </c>
      <c r="AA215">
        <v>1013.39</v>
      </c>
      <c r="AB215">
        <v>0</v>
      </c>
      <c r="AD215">
        <v>0</v>
      </c>
      <c r="AE215">
        <v>0</v>
      </c>
      <c r="AF215">
        <v>0</v>
      </c>
      <c r="AG215">
        <v>0</v>
      </c>
    </row>
    <row r="216" spans="1:33">
      <c r="A216" s="1">
        <f>HYPERLINK("https://lsnyc.legalserver.org/matter/dynamic-profile/view/1913508","19-1913508")</f>
        <v>0</v>
      </c>
      <c r="B216" t="s">
        <v>35</v>
      </c>
      <c r="C216" t="s">
        <v>55</v>
      </c>
      <c r="D216" t="s">
        <v>267</v>
      </c>
      <c r="E216" t="s">
        <v>797</v>
      </c>
      <c r="F216">
        <v>2091</v>
      </c>
      <c r="G216" t="s">
        <v>1241</v>
      </c>
      <c r="I216" t="s">
        <v>1298</v>
      </c>
      <c r="J216">
        <v>4</v>
      </c>
      <c r="K216">
        <v>0</v>
      </c>
      <c r="L216">
        <v>1</v>
      </c>
      <c r="M216" t="s">
        <v>1302</v>
      </c>
      <c r="N216">
        <v>18000</v>
      </c>
      <c r="O216">
        <v>11216</v>
      </c>
      <c r="P216" t="s">
        <v>1309</v>
      </c>
      <c r="Q216" t="s">
        <v>1326</v>
      </c>
      <c r="R216" t="s">
        <v>1321</v>
      </c>
      <c r="S216" t="s">
        <v>1337</v>
      </c>
      <c r="AA216">
        <v>0</v>
      </c>
      <c r="AB216">
        <v>0</v>
      </c>
      <c r="AD216">
        <v>0</v>
      </c>
      <c r="AE216">
        <v>0</v>
      </c>
      <c r="AF216">
        <v>0</v>
      </c>
      <c r="AG216">
        <v>0</v>
      </c>
    </row>
    <row r="217" spans="1:33">
      <c r="A217" s="1">
        <f>HYPERLINK("https://lsnyc.legalserver.org/matter/dynamic-profile/view/1913168","19-1913168")</f>
        <v>0</v>
      </c>
      <c r="B217" t="s">
        <v>35</v>
      </c>
      <c r="C217" t="s">
        <v>61</v>
      </c>
      <c r="D217" t="s">
        <v>268</v>
      </c>
      <c r="E217" t="s">
        <v>798</v>
      </c>
      <c r="F217">
        <v>2091</v>
      </c>
      <c r="I217" t="s">
        <v>1298</v>
      </c>
      <c r="J217">
        <v>1</v>
      </c>
      <c r="K217">
        <v>0</v>
      </c>
      <c r="L217">
        <v>1</v>
      </c>
      <c r="N217">
        <v>11580</v>
      </c>
      <c r="O217">
        <v>11434</v>
      </c>
      <c r="P217" t="s">
        <v>1308</v>
      </c>
      <c r="Q217" t="s">
        <v>1316</v>
      </c>
      <c r="S217" t="s">
        <v>1336</v>
      </c>
      <c r="T217" t="s">
        <v>1335</v>
      </c>
      <c r="W217" t="s">
        <v>1366</v>
      </c>
      <c r="Y217" t="s">
        <v>1381</v>
      </c>
      <c r="AA217">
        <v>0</v>
      </c>
      <c r="AB217">
        <v>0</v>
      </c>
      <c r="AD217">
        <v>0</v>
      </c>
      <c r="AE217">
        <v>0</v>
      </c>
      <c r="AF217">
        <v>0</v>
      </c>
      <c r="AG217">
        <v>0</v>
      </c>
    </row>
    <row r="218" spans="1:33">
      <c r="A218" s="1">
        <f>HYPERLINK("https://lsnyc.legalserver.org/matter/dynamic-profile/view/1904515","19-1904515")</f>
        <v>0</v>
      </c>
      <c r="B218" t="s">
        <v>33</v>
      </c>
      <c r="C218" t="s">
        <v>38</v>
      </c>
      <c r="D218" t="s">
        <v>269</v>
      </c>
      <c r="E218" t="s">
        <v>799</v>
      </c>
      <c r="F218">
        <v>2090</v>
      </c>
      <c r="G218" t="s">
        <v>1188</v>
      </c>
      <c r="I218" t="s">
        <v>1298</v>
      </c>
      <c r="J218">
        <v>2</v>
      </c>
      <c r="K218">
        <v>1</v>
      </c>
      <c r="L218">
        <v>0</v>
      </c>
      <c r="M218" t="s">
        <v>1302</v>
      </c>
      <c r="N218">
        <v>41400</v>
      </c>
      <c r="O218">
        <v>10303</v>
      </c>
      <c r="P218" t="s">
        <v>1307</v>
      </c>
      <c r="Q218" t="s">
        <v>1315</v>
      </c>
      <c r="R218" t="s">
        <v>1321</v>
      </c>
      <c r="S218" t="s">
        <v>1336</v>
      </c>
      <c r="W218" t="s">
        <v>1366</v>
      </c>
      <c r="AA218">
        <v>0</v>
      </c>
      <c r="AB218">
        <v>0</v>
      </c>
      <c r="AD218">
        <v>0</v>
      </c>
      <c r="AE218">
        <v>0</v>
      </c>
      <c r="AF218">
        <v>0</v>
      </c>
      <c r="AG218">
        <v>0</v>
      </c>
    </row>
    <row r="219" spans="1:33">
      <c r="A219" s="1">
        <f>HYPERLINK("https://lsnyc.legalserver.org/matter/dynamic-profile/view/0815194","16-0815194")</f>
        <v>0</v>
      </c>
      <c r="B219" t="s">
        <v>35</v>
      </c>
      <c r="C219" t="s">
        <v>61</v>
      </c>
      <c r="D219" t="s">
        <v>270</v>
      </c>
      <c r="E219" t="s">
        <v>800</v>
      </c>
      <c r="F219">
        <v>2091</v>
      </c>
      <c r="I219" t="s">
        <v>1298</v>
      </c>
      <c r="J219">
        <v>2</v>
      </c>
      <c r="K219">
        <v>4</v>
      </c>
      <c r="L219">
        <v>0</v>
      </c>
      <c r="M219" t="s">
        <v>1303</v>
      </c>
      <c r="N219">
        <v>117754</v>
      </c>
      <c r="O219">
        <v>11233</v>
      </c>
      <c r="P219" t="s">
        <v>1309</v>
      </c>
      <c r="Q219" t="s">
        <v>1315</v>
      </c>
      <c r="S219" t="s">
        <v>1333</v>
      </c>
      <c r="T219" t="s">
        <v>1332</v>
      </c>
      <c r="U219" t="s">
        <v>1352</v>
      </c>
      <c r="W219" t="s">
        <v>1360</v>
      </c>
      <c r="AA219">
        <v>2759</v>
      </c>
      <c r="AB219">
        <v>0</v>
      </c>
      <c r="AD219">
        <v>0</v>
      </c>
      <c r="AE219">
        <v>0</v>
      </c>
      <c r="AF219">
        <v>0</v>
      </c>
      <c r="AG219">
        <v>0</v>
      </c>
    </row>
    <row r="220" spans="1:33">
      <c r="A220" s="1">
        <f>HYPERLINK("https://lsnyc.legalserver.org/matter/dynamic-profile/view/0791270","15-0791270")</f>
        <v>0</v>
      </c>
      <c r="B220" t="s">
        <v>36</v>
      </c>
      <c r="C220" t="s">
        <v>59</v>
      </c>
      <c r="D220" t="s">
        <v>95</v>
      </c>
      <c r="E220" t="s">
        <v>801</v>
      </c>
      <c r="F220">
        <v>2094</v>
      </c>
      <c r="G220" t="s">
        <v>1242</v>
      </c>
      <c r="I220" t="s">
        <v>1298</v>
      </c>
      <c r="J220">
        <v>1</v>
      </c>
      <c r="K220">
        <v>0</v>
      </c>
      <c r="L220">
        <v>1</v>
      </c>
      <c r="M220" t="s">
        <v>1301</v>
      </c>
      <c r="N220">
        <v>58000</v>
      </c>
      <c r="O220">
        <v>10466</v>
      </c>
      <c r="P220" t="s">
        <v>1310</v>
      </c>
      <c r="Q220" t="s">
        <v>1314</v>
      </c>
      <c r="R220" t="s">
        <v>1320</v>
      </c>
      <c r="S220" t="s">
        <v>1333</v>
      </c>
      <c r="T220" t="s">
        <v>1349</v>
      </c>
      <c r="U220" t="s">
        <v>1354</v>
      </c>
      <c r="W220" t="s">
        <v>1374</v>
      </c>
      <c r="Y220" t="s">
        <v>1390</v>
      </c>
      <c r="AA220">
        <v>0</v>
      </c>
      <c r="AB220">
        <v>0</v>
      </c>
      <c r="AD220">
        <v>0</v>
      </c>
      <c r="AE220">
        <v>0</v>
      </c>
      <c r="AF220">
        <v>0</v>
      </c>
      <c r="AG220">
        <v>0</v>
      </c>
    </row>
    <row r="221" spans="1:33">
      <c r="A221" s="1">
        <f>HYPERLINK("https://lsnyc.legalserver.org/matter/dynamic-profile/view/1876464","18-1876464")</f>
        <v>0</v>
      </c>
      <c r="B221" t="s">
        <v>36</v>
      </c>
      <c r="C221" t="s">
        <v>52</v>
      </c>
      <c r="D221" t="s">
        <v>271</v>
      </c>
      <c r="E221" t="s">
        <v>802</v>
      </c>
      <c r="F221">
        <v>2094</v>
      </c>
      <c r="G221" t="s">
        <v>1202</v>
      </c>
      <c r="I221" t="s">
        <v>1298</v>
      </c>
      <c r="J221">
        <v>3</v>
      </c>
      <c r="K221">
        <v>0</v>
      </c>
      <c r="L221">
        <v>0</v>
      </c>
      <c r="M221" t="s">
        <v>1304</v>
      </c>
      <c r="N221">
        <v>154200</v>
      </c>
      <c r="O221">
        <v>10460</v>
      </c>
      <c r="P221" t="s">
        <v>1310</v>
      </c>
      <c r="Q221" t="s">
        <v>1315</v>
      </c>
      <c r="R221" t="s">
        <v>1319</v>
      </c>
      <c r="S221" t="s">
        <v>1344</v>
      </c>
      <c r="T221" t="s">
        <v>1336</v>
      </c>
      <c r="W221" t="s">
        <v>1360</v>
      </c>
      <c r="Y221" t="s">
        <v>1365</v>
      </c>
      <c r="AA221">
        <v>0</v>
      </c>
      <c r="AB221">
        <v>0</v>
      </c>
      <c r="AD221">
        <v>0</v>
      </c>
      <c r="AE221">
        <v>0</v>
      </c>
      <c r="AF221">
        <v>0</v>
      </c>
      <c r="AG221">
        <v>0</v>
      </c>
    </row>
    <row r="222" spans="1:33">
      <c r="A222" s="1">
        <f>HYPERLINK("https://lsnyc.legalserver.org/matter/dynamic-profile/view/1864947","18-1864947")</f>
        <v>0</v>
      </c>
      <c r="B222" t="s">
        <v>33</v>
      </c>
      <c r="C222" t="s">
        <v>53</v>
      </c>
      <c r="D222" t="s">
        <v>272</v>
      </c>
      <c r="E222" t="s">
        <v>803</v>
      </c>
      <c r="F222">
        <v>2090</v>
      </c>
      <c r="G222" t="s">
        <v>1178</v>
      </c>
      <c r="I222" t="s">
        <v>1298</v>
      </c>
      <c r="J222">
        <v>3</v>
      </c>
      <c r="K222">
        <v>2</v>
      </c>
      <c r="L222">
        <v>0</v>
      </c>
      <c r="N222">
        <v>84980</v>
      </c>
      <c r="O222">
        <v>10302</v>
      </c>
      <c r="P222" t="s">
        <v>1307</v>
      </c>
      <c r="Q222" t="s">
        <v>1318</v>
      </c>
      <c r="S222" t="s">
        <v>1333</v>
      </c>
      <c r="T222" t="s">
        <v>1332</v>
      </c>
      <c r="W222" t="s">
        <v>1361</v>
      </c>
      <c r="Y222" t="s">
        <v>1366</v>
      </c>
      <c r="AA222">
        <v>0</v>
      </c>
      <c r="AB222">
        <v>0</v>
      </c>
      <c r="AD222">
        <v>0</v>
      </c>
      <c r="AE222">
        <v>0</v>
      </c>
      <c r="AF222">
        <v>0</v>
      </c>
      <c r="AG222">
        <v>0</v>
      </c>
    </row>
    <row r="223" spans="1:33">
      <c r="A223" s="1">
        <f>HYPERLINK("https://lsnyc.legalserver.org/matter/dynamic-profile/view/1912024","19-1912024")</f>
        <v>0</v>
      </c>
      <c r="B223" t="s">
        <v>35</v>
      </c>
      <c r="C223" t="s">
        <v>55</v>
      </c>
      <c r="D223" t="s">
        <v>190</v>
      </c>
      <c r="E223" t="s">
        <v>804</v>
      </c>
      <c r="F223">
        <v>2091</v>
      </c>
      <c r="I223" t="s">
        <v>1298</v>
      </c>
      <c r="J223">
        <v>1</v>
      </c>
      <c r="K223">
        <v>0</v>
      </c>
      <c r="L223">
        <v>0</v>
      </c>
      <c r="M223" t="s">
        <v>1302</v>
      </c>
      <c r="N223">
        <v>42000</v>
      </c>
      <c r="O223">
        <v>11238</v>
      </c>
      <c r="P223" t="s">
        <v>1309</v>
      </c>
      <c r="Q223" t="s">
        <v>1322</v>
      </c>
      <c r="R223" t="s">
        <v>1324</v>
      </c>
      <c r="S223" t="s">
        <v>1337</v>
      </c>
      <c r="AA223">
        <v>0</v>
      </c>
      <c r="AB223">
        <v>0</v>
      </c>
      <c r="AD223">
        <v>0</v>
      </c>
      <c r="AE223">
        <v>0</v>
      </c>
      <c r="AF223">
        <v>0</v>
      </c>
      <c r="AG223">
        <v>0</v>
      </c>
    </row>
    <row r="224" spans="1:33">
      <c r="A224" s="1">
        <f>HYPERLINK("https://lsnyc.legalserver.org/matter/dynamic-profile/view/1911281","19-1911281")</f>
        <v>0</v>
      </c>
      <c r="B224" t="s">
        <v>35</v>
      </c>
      <c r="C224" t="s">
        <v>55</v>
      </c>
      <c r="D224" t="s">
        <v>273</v>
      </c>
      <c r="E224" t="s">
        <v>805</v>
      </c>
      <c r="F224">
        <v>2091</v>
      </c>
      <c r="I224" t="s">
        <v>1298</v>
      </c>
      <c r="J224">
        <v>3</v>
      </c>
      <c r="K224">
        <v>0</v>
      </c>
      <c r="L224">
        <v>1</v>
      </c>
      <c r="M224" t="s">
        <v>1302</v>
      </c>
      <c r="N224">
        <v>21821.54</v>
      </c>
      <c r="O224">
        <v>11212</v>
      </c>
      <c r="P224" t="s">
        <v>1309</v>
      </c>
      <c r="Q224" t="s">
        <v>1324</v>
      </c>
      <c r="R224" t="s">
        <v>1319</v>
      </c>
      <c r="S224" t="s">
        <v>1337</v>
      </c>
      <c r="W224" t="s">
        <v>1366</v>
      </c>
      <c r="AA224">
        <v>0</v>
      </c>
      <c r="AB224">
        <v>0</v>
      </c>
      <c r="AD224">
        <v>0</v>
      </c>
      <c r="AE224">
        <v>0</v>
      </c>
      <c r="AF224">
        <v>0</v>
      </c>
      <c r="AG224">
        <v>0</v>
      </c>
    </row>
    <row r="225" spans="1:33">
      <c r="A225" s="1">
        <f>HYPERLINK("https://lsnyc.legalserver.org/matter/dynamic-profile/view/0820593","16-0820593")</f>
        <v>0</v>
      </c>
      <c r="B225" t="s">
        <v>34</v>
      </c>
      <c r="C225" t="s">
        <v>49</v>
      </c>
      <c r="D225" t="s">
        <v>274</v>
      </c>
      <c r="E225" t="s">
        <v>806</v>
      </c>
      <c r="F225">
        <v>2093</v>
      </c>
      <c r="G225" t="s">
        <v>1215</v>
      </c>
      <c r="I225" t="s">
        <v>1298</v>
      </c>
      <c r="J225">
        <v>4</v>
      </c>
      <c r="K225">
        <v>0</v>
      </c>
      <c r="L225">
        <v>0</v>
      </c>
      <c r="M225" t="s">
        <v>1301</v>
      </c>
      <c r="N225">
        <v>68400</v>
      </c>
      <c r="O225">
        <v>11434</v>
      </c>
      <c r="P225" t="s">
        <v>1308</v>
      </c>
      <c r="Q225" t="s">
        <v>1318</v>
      </c>
      <c r="S225" t="s">
        <v>1333</v>
      </c>
      <c r="T225" t="s">
        <v>1332</v>
      </c>
      <c r="U225" t="s">
        <v>1352</v>
      </c>
      <c r="W225" t="s">
        <v>1360</v>
      </c>
      <c r="AA225">
        <v>2814.85</v>
      </c>
      <c r="AB225">
        <v>0</v>
      </c>
      <c r="AD225">
        <v>0</v>
      </c>
      <c r="AE225">
        <v>0</v>
      </c>
      <c r="AF225">
        <v>0</v>
      </c>
      <c r="AG225">
        <v>0</v>
      </c>
    </row>
    <row r="226" spans="1:33">
      <c r="A226" s="1">
        <f>HYPERLINK("https://lsnyc.legalserver.org/matter/dynamic-profile/view/1849151","17-1849151")</f>
        <v>0</v>
      </c>
      <c r="B226" t="s">
        <v>34</v>
      </c>
      <c r="C226" t="s">
        <v>49</v>
      </c>
      <c r="D226" t="s">
        <v>275</v>
      </c>
      <c r="E226" t="s">
        <v>807</v>
      </c>
      <c r="F226">
        <v>2093</v>
      </c>
      <c r="G226" t="s">
        <v>1179</v>
      </c>
      <c r="I226" t="s">
        <v>1298</v>
      </c>
      <c r="J226">
        <v>1</v>
      </c>
      <c r="K226">
        <v>1</v>
      </c>
      <c r="L226">
        <v>0</v>
      </c>
      <c r="M226" t="s">
        <v>1301</v>
      </c>
      <c r="N226">
        <v>19200</v>
      </c>
      <c r="O226">
        <v>11413</v>
      </c>
      <c r="P226" t="s">
        <v>1308</v>
      </c>
      <c r="Q226" t="s">
        <v>1319</v>
      </c>
      <c r="S226" t="s">
        <v>1333</v>
      </c>
      <c r="T226" t="s">
        <v>1332</v>
      </c>
      <c r="W226" t="s">
        <v>1361</v>
      </c>
      <c r="Y226" t="s">
        <v>1365</v>
      </c>
      <c r="AA226">
        <v>0</v>
      </c>
      <c r="AB226">
        <v>0</v>
      </c>
      <c r="AD226">
        <v>0</v>
      </c>
      <c r="AE226">
        <v>0</v>
      </c>
      <c r="AF226">
        <v>0</v>
      </c>
      <c r="AG226">
        <v>0</v>
      </c>
    </row>
    <row r="227" spans="1:33">
      <c r="A227" s="1">
        <f>HYPERLINK("https://lsnyc.legalserver.org/matter/dynamic-profile/view/1850331","17-1850331")</f>
        <v>0</v>
      </c>
      <c r="B227" t="s">
        <v>34</v>
      </c>
      <c r="C227" t="s">
        <v>39</v>
      </c>
      <c r="D227" t="s">
        <v>80</v>
      </c>
      <c r="E227" t="s">
        <v>615</v>
      </c>
      <c r="F227">
        <v>2093</v>
      </c>
      <c r="G227" t="s">
        <v>1185</v>
      </c>
      <c r="I227" t="s">
        <v>1298</v>
      </c>
      <c r="J227">
        <v>1</v>
      </c>
      <c r="K227">
        <v>0</v>
      </c>
      <c r="L227">
        <v>1</v>
      </c>
      <c r="M227" t="s">
        <v>1302</v>
      </c>
      <c r="N227">
        <v>19200</v>
      </c>
      <c r="O227">
        <v>11434</v>
      </c>
      <c r="P227" t="s">
        <v>1308</v>
      </c>
      <c r="Q227" t="s">
        <v>1317</v>
      </c>
      <c r="S227" t="s">
        <v>1338</v>
      </c>
      <c r="W227" t="s">
        <v>1362</v>
      </c>
      <c r="Y227" t="s">
        <v>1364</v>
      </c>
      <c r="AA227">
        <v>0</v>
      </c>
      <c r="AB227">
        <v>0</v>
      </c>
      <c r="AD227">
        <v>0</v>
      </c>
      <c r="AE227">
        <v>0</v>
      </c>
      <c r="AF227">
        <v>0</v>
      </c>
      <c r="AG227">
        <v>0</v>
      </c>
    </row>
    <row r="228" spans="1:33">
      <c r="A228" s="1">
        <f>HYPERLINK("https://lsnyc.legalserver.org/matter/dynamic-profile/view/1881085","18-1881085")</f>
        <v>0</v>
      </c>
      <c r="B228" t="s">
        <v>33</v>
      </c>
      <c r="C228" t="s">
        <v>38</v>
      </c>
      <c r="D228" t="s">
        <v>276</v>
      </c>
      <c r="E228" t="s">
        <v>808</v>
      </c>
      <c r="F228">
        <v>2090</v>
      </c>
      <c r="G228" t="s">
        <v>1188</v>
      </c>
      <c r="I228" t="s">
        <v>1298</v>
      </c>
      <c r="J228">
        <v>1</v>
      </c>
      <c r="K228">
        <v>0</v>
      </c>
      <c r="L228">
        <v>0</v>
      </c>
      <c r="N228">
        <v>34400</v>
      </c>
      <c r="O228">
        <v>10310</v>
      </c>
      <c r="P228" t="s">
        <v>1307</v>
      </c>
      <c r="Q228" t="s">
        <v>1315</v>
      </c>
      <c r="S228" t="s">
        <v>1333</v>
      </c>
      <c r="T228" t="s">
        <v>1334</v>
      </c>
      <c r="W228" t="s">
        <v>1370</v>
      </c>
      <c r="Y228" t="s">
        <v>1378</v>
      </c>
      <c r="AA228">
        <v>0</v>
      </c>
      <c r="AB228">
        <v>0</v>
      </c>
      <c r="AC228">
        <v>56997.99</v>
      </c>
      <c r="AD228">
        <v>0</v>
      </c>
      <c r="AE228">
        <v>0</v>
      </c>
      <c r="AF228">
        <v>0</v>
      </c>
      <c r="AG228">
        <v>0</v>
      </c>
    </row>
    <row r="229" spans="1:33">
      <c r="A229" s="1">
        <f>HYPERLINK("https://lsnyc.legalserver.org/matter/dynamic-profile/view/1883964","18-1883964")</f>
        <v>0</v>
      </c>
      <c r="B229" t="s">
        <v>34</v>
      </c>
      <c r="C229" t="s">
        <v>54</v>
      </c>
      <c r="D229" t="s">
        <v>277</v>
      </c>
      <c r="E229" t="s">
        <v>809</v>
      </c>
      <c r="F229">
        <v>2093</v>
      </c>
      <c r="I229" t="s">
        <v>1298</v>
      </c>
      <c r="J229">
        <v>4</v>
      </c>
      <c r="K229">
        <v>2</v>
      </c>
      <c r="L229">
        <v>0</v>
      </c>
      <c r="M229" t="s">
        <v>1302</v>
      </c>
      <c r="N229">
        <v>42800</v>
      </c>
      <c r="O229">
        <v>11691</v>
      </c>
      <c r="P229" t="s">
        <v>1308</v>
      </c>
      <c r="Q229" t="s">
        <v>1315</v>
      </c>
      <c r="S229" t="s">
        <v>1332</v>
      </c>
      <c r="T229" t="s">
        <v>1340</v>
      </c>
      <c r="U229" t="s">
        <v>1354</v>
      </c>
      <c r="W229" t="s">
        <v>1361</v>
      </c>
      <c r="AA229">
        <v>0</v>
      </c>
      <c r="AB229">
        <v>0</v>
      </c>
      <c r="AD229">
        <v>0</v>
      </c>
      <c r="AE229">
        <v>0</v>
      </c>
      <c r="AF229">
        <v>0</v>
      </c>
      <c r="AG229">
        <v>0</v>
      </c>
    </row>
    <row r="230" spans="1:33">
      <c r="A230" s="1">
        <f>HYPERLINK("https://lsnyc.legalserver.org/matter/dynamic-profile/view/1886320","18-1886320")</f>
        <v>0</v>
      </c>
      <c r="B230" t="s">
        <v>34</v>
      </c>
      <c r="C230" t="s">
        <v>39</v>
      </c>
      <c r="D230" t="s">
        <v>278</v>
      </c>
      <c r="E230" t="s">
        <v>608</v>
      </c>
      <c r="F230">
        <v>2093</v>
      </c>
      <c r="G230" t="s">
        <v>1243</v>
      </c>
      <c r="I230" t="s">
        <v>1298</v>
      </c>
      <c r="J230">
        <v>2</v>
      </c>
      <c r="K230">
        <v>0</v>
      </c>
      <c r="L230">
        <v>1</v>
      </c>
      <c r="M230" t="s">
        <v>1301</v>
      </c>
      <c r="N230">
        <v>38400</v>
      </c>
      <c r="O230">
        <v>11429</v>
      </c>
      <c r="P230" t="s">
        <v>1308</v>
      </c>
      <c r="Q230" t="s">
        <v>1324</v>
      </c>
      <c r="S230" t="s">
        <v>1332</v>
      </c>
      <c r="T230" t="s">
        <v>1333</v>
      </c>
      <c r="W230" t="s">
        <v>1370</v>
      </c>
      <c r="AA230">
        <v>0</v>
      </c>
      <c r="AB230">
        <v>0</v>
      </c>
      <c r="AC230">
        <v>9868.91</v>
      </c>
      <c r="AD230">
        <v>0</v>
      </c>
      <c r="AE230">
        <v>0</v>
      </c>
      <c r="AF230">
        <v>0</v>
      </c>
      <c r="AG230">
        <v>0</v>
      </c>
    </row>
    <row r="231" spans="1:33">
      <c r="A231" s="1">
        <f>HYPERLINK("https://lsnyc.legalserver.org/matter/dynamic-profile/view/1887756","19-1887756")</f>
        <v>0</v>
      </c>
      <c r="B231" t="s">
        <v>34</v>
      </c>
      <c r="C231" t="s">
        <v>64</v>
      </c>
      <c r="D231" t="s">
        <v>279</v>
      </c>
      <c r="E231" t="s">
        <v>810</v>
      </c>
      <c r="F231">
        <v>2093</v>
      </c>
      <c r="G231" t="s">
        <v>1213</v>
      </c>
      <c r="I231" t="s">
        <v>1298</v>
      </c>
      <c r="J231">
        <v>3</v>
      </c>
      <c r="K231">
        <v>1</v>
      </c>
      <c r="L231">
        <v>0</v>
      </c>
      <c r="M231" t="s">
        <v>1301</v>
      </c>
      <c r="N231">
        <v>52130</v>
      </c>
      <c r="O231">
        <v>11413</v>
      </c>
      <c r="P231" t="s">
        <v>1308</v>
      </c>
      <c r="Q231" t="s">
        <v>1315</v>
      </c>
      <c r="S231" t="s">
        <v>1333</v>
      </c>
      <c r="T231" t="s">
        <v>1351</v>
      </c>
      <c r="W231" t="s">
        <v>1370</v>
      </c>
      <c r="AA231">
        <v>0</v>
      </c>
      <c r="AB231">
        <v>0</v>
      </c>
      <c r="AC231">
        <v>20407.58</v>
      </c>
      <c r="AD231">
        <v>0</v>
      </c>
      <c r="AE231">
        <v>0</v>
      </c>
      <c r="AF231">
        <v>0</v>
      </c>
      <c r="AG231">
        <v>0</v>
      </c>
    </row>
    <row r="232" spans="1:33">
      <c r="A232" s="1">
        <f>HYPERLINK("https://lsnyc.legalserver.org/matter/dynamic-profile/view/1889335","19-1889335")</f>
        <v>0</v>
      </c>
      <c r="B232" t="s">
        <v>33</v>
      </c>
      <c r="C232" t="s">
        <v>38</v>
      </c>
      <c r="D232" t="s">
        <v>280</v>
      </c>
      <c r="E232" t="s">
        <v>811</v>
      </c>
      <c r="F232">
        <v>2090</v>
      </c>
      <c r="G232" t="s">
        <v>1206</v>
      </c>
      <c r="I232" t="s">
        <v>1298</v>
      </c>
      <c r="J232">
        <v>1</v>
      </c>
      <c r="K232">
        <v>0</v>
      </c>
      <c r="L232">
        <v>0</v>
      </c>
      <c r="M232" t="s">
        <v>1303</v>
      </c>
      <c r="N232">
        <v>32000</v>
      </c>
      <c r="O232">
        <v>10305</v>
      </c>
      <c r="P232" t="s">
        <v>1307</v>
      </c>
      <c r="Q232" t="s">
        <v>1319</v>
      </c>
      <c r="S232" t="s">
        <v>1337</v>
      </c>
      <c r="W232" t="s">
        <v>1366</v>
      </c>
      <c r="Y232" t="s">
        <v>1386</v>
      </c>
      <c r="AA232">
        <v>0</v>
      </c>
      <c r="AB232">
        <v>0</v>
      </c>
      <c r="AD232">
        <v>0</v>
      </c>
      <c r="AE232">
        <v>0</v>
      </c>
      <c r="AF232">
        <v>0</v>
      </c>
      <c r="AG232">
        <v>0</v>
      </c>
    </row>
    <row r="233" spans="1:33">
      <c r="A233" s="1">
        <f>HYPERLINK("https://lsnyc.legalserver.org/matter/dynamic-profile/view/1896594","19-1896594")</f>
        <v>0</v>
      </c>
      <c r="B233" t="s">
        <v>34</v>
      </c>
      <c r="C233" t="s">
        <v>39</v>
      </c>
      <c r="D233" t="s">
        <v>281</v>
      </c>
      <c r="E233" t="s">
        <v>812</v>
      </c>
      <c r="F233">
        <v>2093</v>
      </c>
      <c r="G233" t="s">
        <v>1206</v>
      </c>
      <c r="I233" t="s">
        <v>1298</v>
      </c>
      <c r="J233">
        <v>1</v>
      </c>
      <c r="K233">
        <v>0</v>
      </c>
      <c r="L233">
        <v>0</v>
      </c>
      <c r="M233" t="s">
        <v>1301</v>
      </c>
      <c r="N233">
        <v>95000</v>
      </c>
      <c r="O233">
        <v>11423</v>
      </c>
      <c r="P233" t="s">
        <v>1308</v>
      </c>
      <c r="Q233" t="s">
        <v>1319</v>
      </c>
      <c r="S233" t="s">
        <v>1332</v>
      </c>
      <c r="T233" t="s">
        <v>1333</v>
      </c>
      <c r="W233" t="s">
        <v>1361</v>
      </c>
      <c r="Y233" t="s">
        <v>1366</v>
      </c>
      <c r="AA233">
        <v>0</v>
      </c>
      <c r="AB233">
        <v>0</v>
      </c>
      <c r="AD233">
        <v>0</v>
      </c>
      <c r="AE233">
        <v>0</v>
      </c>
      <c r="AF233">
        <v>0</v>
      </c>
      <c r="AG233">
        <v>0</v>
      </c>
    </row>
    <row r="234" spans="1:33">
      <c r="A234" s="1">
        <f>HYPERLINK("https://lsnyc.legalserver.org/matter/dynamic-profile/view/1903656","19-1903656")</f>
        <v>0</v>
      </c>
      <c r="B234" t="s">
        <v>34</v>
      </c>
      <c r="C234" t="s">
        <v>54</v>
      </c>
      <c r="D234" t="s">
        <v>282</v>
      </c>
      <c r="E234" t="s">
        <v>813</v>
      </c>
      <c r="F234">
        <v>2093</v>
      </c>
      <c r="G234" t="s">
        <v>1207</v>
      </c>
      <c r="H234" t="s">
        <v>1192</v>
      </c>
      <c r="I234" t="s">
        <v>1298</v>
      </c>
      <c r="J234">
        <v>1</v>
      </c>
      <c r="K234">
        <v>0</v>
      </c>
      <c r="L234">
        <v>0</v>
      </c>
      <c r="M234" t="s">
        <v>1301</v>
      </c>
      <c r="N234">
        <v>52623.96</v>
      </c>
      <c r="O234">
        <v>11434</v>
      </c>
      <c r="P234" t="s">
        <v>1308</v>
      </c>
      <c r="Q234" t="s">
        <v>1315</v>
      </c>
      <c r="R234" t="s">
        <v>1319</v>
      </c>
      <c r="S234" t="s">
        <v>1332</v>
      </c>
      <c r="W234" t="s">
        <v>1370</v>
      </c>
      <c r="Y234" t="s">
        <v>1361</v>
      </c>
      <c r="AA234">
        <v>0</v>
      </c>
      <c r="AB234">
        <v>0</v>
      </c>
      <c r="AC234">
        <v>13500</v>
      </c>
      <c r="AD234">
        <v>0</v>
      </c>
      <c r="AE234">
        <v>0</v>
      </c>
      <c r="AF234">
        <v>0</v>
      </c>
      <c r="AG234">
        <v>0</v>
      </c>
    </row>
    <row r="235" spans="1:33">
      <c r="A235" s="1">
        <f>HYPERLINK("https://lsnyc.legalserver.org/matter/dynamic-profile/view/1906567","19-1906567")</f>
        <v>0</v>
      </c>
      <c r="B235" t="s">
        <v>34</v>
      </c>
      <c r="C235" t="s">
        <v>39</v>
      </c>
      <c r="D235" t="s">
        <v>283</v>
      </c>
      <c r="E235" t="s">
        <v>814</v>
      </c>
      <c r="F235">
        <v>2093</v>
      </c>
      <c r="G235" t="s">
        <v>1210</v>
      </c>
      <c r="I235" t="s">
        <v>1298</v>
      </c>
      <c r="J235">
        <v>1</v>
      </c>
      <c r="K235">
        <v>1</v>
      </c>
      <c r="L235">
        <v>1</v>
      </c>
      <c r="N235">
        <v>38400</v>
      </c>
      <c r="O235">
        <v>11420</v>
      </c>
      <c r="P235" t="s">
        <v>1308</v>
      </c>
      <c r="Q235" t="s">
        <v>1323</v>
      </c>
      <c r="S235" t="s">
        <v>1336</v>
      </c>
      <c r="W235" t="s">
        <v>1366</v>
      </c>
      <c r="AA235">
        <v>0</v>
      </c>
      <c r="AB235">
        <v>0</v>
      </c>
      <c r="AD235">
        <v>0</v>
      </c>
      <c r="AE235">
        <v>0</v>
      </c>
      <c r="AF235">
        <v>0</v>
      </c>
      <c r="AG235">
        <v>0</v>
      </c>
    </row>
    <row r="236" spans="1:33">
      <c r="A236" s="1">
        <f>HYPERLINK("https://lsnyc.legalserver.org/matter/dynamic-profile/view/1907336","19-1907336")</f>
        <v>0</v>
      </c>
      <c r="B236" t="s">
        <v>34</v>
      </c>
      <c r="C236" t="s">
        <v>64</v>
      </c>
      <c r="D236" t="s">
        <v>284</v>
      </c>
      <c r="E236" t="s">
        <v>815</v>
      </c>
      <c r="F236">
        <v>2093</v>
      </c>
      <c r="G236" t="s">
        <v>1214</v>
      </c>
      <c r="H236" t="s">
        <v>1214</v>
      </c>
      <c r="I236" t="s">
        <v>1298</v>
      </c>
      <c r="J236">
        <v>1</v>
      </c>
      <c r="K236">
        <v>0</v>
      </c>
      <c r="L236">
        <v>1</v>
      </c>
      <c r="N236">
        <v>15300</v>
      </c>
      <c r="O236">
        <v>11436</v>
      </c>
      <c r="P236" t="s">
        <v>1308</v>
      </c>
      <c r="Q236" t="s">
        <v>1315</v>
      </c>
      <c r="S236" t="s">
        <v>1332</v>
      </c>
      <c r="W236" t="s">
        <v>1361</v>
      </c>
      <c r="AA236">
        <v>0</v>
      </c>
      <c r="AB236">
        <v>0</v>
      </c>
      <c r="AD236">
        <v>0</v>
      </c>
      <c r="AE236">
        <v>0</v>
      </c>
      <c r="AF236">
        <v>0</v>
      </c>
      <c r="AG236">
        <v>0</v>
      </c>
    </row>
    <row r="237" spans="1:33">
      <c r="A237" s="1">
        <f>HYPERLINK("https://lsnyc.legalserver.org/matter/dynamic-profile/view/1911245","19-1911245")</f>
        <v>0</v>
      </c>
      <c r="B237" t="s">
        <v>34</v>
      </c>
      <c r="C237" t="s">
        <v>39</v>
      </c>
      <c r="D237" t="s">
        <v>285</v>
      </c>
      <c r="E237" t="s">
        <v>816</v>
      </c>
      <c r="F237">
        <v>2093</v>
      </c>
      <c r="I237" t="s">
        <v>1298</v>
      </c>
      <c r="J237">
        <v>1</v>
      </c>
      <c r="K237">
        <v>0</v>
      </c>
      <c r="L237">
        <v>0</v>
      </c>
      <c r="M237" t="s">
        <v>1302</v>
      </c>
      <c r="N237">
        <v>33300</v>
      </c>
      <c r="O237">
        <v>11369</v>
      </c>
      <c r="P237" t="s">
        <v>1308</v>
      </c>
      <c r="Q237" t="s">
        <v>1315</v>
      </c>
      <c r="S237" t="s">
        <v>1336</v>
      </c>
      <c r="W237" t="s">
        <v>1366</v>
      </c>
      <c r="AA237">
        <v>0</v>
      </c>
      <c r="AB237">
        <v>0</v>
      </c>
      <c r="AD237">
        <v>0</v>
      </c>
      <c r="AE237">
        <v>0</v>
      </c>
      <c r="AF237">
        <v>0</v>
      </c>
      <c r="AG237">
        <v>0</v>
      </c>
    </row>
    <row r="238" spans="1:33">
      <c r="A238" s="1">
        <f>HYPERLINK("https://lsnyc.legalserver.org/matter/dynamic-profile/view/1913470","19-1913470")</f>
        <v>0</v>
      </c>
      <c r="B238" t="s">
        <v>34</v>
      </c>
      <c r="C238" t="s">
        <v>39</v>
      </c>
      <c r="D238" t="s">
        <v>286</v>
      </c>
      <c r="E238" t="s">
        <v>807</v>
      </c>
      <c r="F238">
        <v>2093</v>
      </c>
      <c r="I238" t="s">
        <v>1298</v>
      </c>
      <c r="J238">
        <v>1</v>
      </c>
      <c r="K238">
        <v>0</v>
      </c>
      <c r="L238">
        <v>1</v>
      </c>
      <c r="M238" t="s">
        <v>1301</v>
      </c>
      <c r="N238">
        <v>26000</v>
      </c>
      <c r="O238">
        <v>11413</v>
      </c>
      <c r="P238" t="s">
        <v>1308</v>
      </c>
      <c r="Q238" t="s">
        <v>1315</v>
      </c>
      <c r="S238" t="s">
        <v>1336</v>
      </c>
      <c r="W238" t="s">
        <v>1366</v>
      </c>
      <c r="AA238">
        <v>0</v>
      </c>
      <c r="AB238">
        <v>0</v>
      </c>
      <c r="AD238">
        <v>0</v>
      </c>
      <c r="AE238">
        <v>0</v>
      </c>
      <c r="AF238">
        <v>0</v>
      </c>
      <c r="AG238">
        <v>0</v>
      </c>
    </row>
    <row r="239" spans="1:33">
      <c r="A239" s="1">
        <f>HYPERLINK("https://lsnyc.legalserver.org/matter/dynamic-profile/view/1914526","19-1914526")</f>
        <v>0</v>
      </c>
      <c r="B239" t="s">
        <v>34</v>
      </c>
      <c r="C239" t="s">
        <v>64</v>
      </c>
      <c r="D239" t="s">
        <v>287</v>
      </c>
      <c r="E239" t="s">
        <v>817</v>
      </c>
      <c r="F239">
        <v>2093</v>
      </c>
      <c r="G239" t="s">
        <v>1239</v>
      </c>
      <c r="I239" t="s">
        <v>1298</v>
      </c>
      <c r="J239">
        <v>2</v>
      </c>
      <c r="K239">
        <v>0</v>
      </c>
      <c r="L239">
        <v>0</v>
      </c>
      <c r="M239" t="s">
        <v>1301</v>
      </c>
      <c r="N239">
        <v>38400</v>
      </c>
      <c r="O239">
        <v>11413</v>
      </c>
      <c r="P239" t="s">
        <v>1308</v>
      </c>
      <c r="Q239" t="s">
        <v>1317</v>
      </c>
      <c r="S239" t="s">
        <v>1336</v>
      </c>
      <c r="T239" t="s">
        <v>1332</v>
      </c>
      <c r="W239" t="s">
        <v>1361</v>
      </c>
      <c r="Y239" t="s">
        <v>1366</v>
      </c>
      <c r="AA239">
        <v>0</v>
      </c>
      <c r="AB239">
        <v>0</v>
      </c>
      <c r="AD239">
        <v>0</v>
      </c>
      <c r="AE239">
        <v>0</v>
      </c>
      <c r="AF239">
        <v>0</v>
      </c>
      <c r="AG239">
        <v>0</v>
      </c>
    </row>
    <row r="240" spans="1:33">
      <c r="A240" s="1">
        <f>HYPERLINK("https://lsnyc.legalserver.org/matter/dynamic-profile/view/1842225","17-1842225")</f>
        <v>0</v>
      </c>
      <c r="B240" t="s">
        <v>33</v>
      </c>
      <c r="C240" t="s">
        <v>38</v>
      </c>
      <c r="D240" t="s">
        <v>288</v>
      </c>
      <c r="E240" t="s">
        <v>347</v>
      </c>
      <c r="F240">
        <v>2090</v>
      </c>
      <c r="G240" t="s">
        <v>1244</v>
      </c>
      <c r="I240" t="s">
        <v>1298</v>
      </c>
      <c r="J240">
        <v>2</v>
      </c>
      <c r="K240">
        <v>0</v>
      </c>
      <c r="L240">
        <v>0</v>
      </c>
      <c r="N240">
        <v>55920</v>
      </c>
      <c r="O240">
        <v>10304</v>
      </c>
      <c r="P240" t="s">
        <v>1307</v>
      </c>
      <c r="Q240" t="s">
        <v>1314</v>
      </c>
      <c r="S240" t="s">
        <v>1333</v>
      </c>
      <c r="T240" t="s">
        <v>1334</v>
      </c>
      <c r="W240" t="s">
        <v>1377</v>
      </c>
      <c r="Y240" t="s">
        <v>1370</v>
      </c>
      <c r="AA240">
        <v>0</v>
      </c>
      <c r="AB240">
        <v>0</v>
      </c>
      <c r="AC240">
        <v>32724.88</v>
      </c>
      <c r="AD240">
        <v>0</v>
      </c>
      <c r="AE240">
        <v>0</v>
      </c>
      <c r="AF240">
        <v>0</v>
      </c>
      <c r="AG240">
        <v>0</v>
      </c>
    </row>
    <row r="241" spans="1:33">
      <c r="A241" s="1">
        <f>HYPERLINK("https://lsnyc.legalserver.org/matter/dynamic-profile/view/1001556","X07E-1001556")</f>
        <v>0</v>
      </c>
      <c r="B241" t="s">
        <v>36</v>
      </c>
      <c r="C241" t="s">
        <v>46</v>
      </c>
      <c r="D241" t="s">
        <v>289</v>
      </c>
      <c r="E241" t="s">
        <v>818</v>
      </c>
      <c r="F241">
        <v>2094</v>
      </c>
      <c r="G241" t="s">
        <v>1229</v>
      </c>
      <c r="I241" t="s">
        <v>1298</v>
      </c>
      <c r="J241">
        <v>1</v>
      </c>
      <c r="K241">
        <v>0</v>
      </c>
      <c r="L241">
        <v>0</v>
      </c>
      <c r="M241" t="s">
        <v>1302</v>
      </c>
      <c r="N241">
        <v>20184</v>
      </c>
      <c r="O241">
        <v>10456</v>
      </c>
      <c r="P241" t="s">
        <v>1310</v>
      </c>
      <c r="Q241" t="s">
        <v>1322</v>
      </c>
      <c r="S241" t="s">
        <v>1338</v>
      </c>
      <c r="W241" t="s">
        <v>1368</v>
      </c>
      <c r="Y241" t="s">
        <v>1383</v>
      </c>
      <c r="AA241">
        <v>0</v>
      </c>
      <c r="AB241">
        <v>0</v>
      </c>
      <c r="AC241">
        <v>20000</v>
      </c>
      <c r="AD241">
        <v>0</v>
      </c>
      <c r="AE241">
        <v>0</v>
      </c>
      <c r="AF241">
        <v>0</v>
      </c>
      <c r="AG241">
        <v>0</v>
      </c>
    </row>
    <row r="242" spans="1:33">
      <c r="A242" s="1">
        <f>HYPERLINK("https://lsnyc.legalserver.org/matter/dynamic-profile/view/5001926","X10E-15001926")</f>
        <v>0</v>
      </c>
      <c r="B242" t="s">
        <v>36</v>
      </c>
      <c r="C242" t="s">
        <v>46</v>
      </c>
      <c r="D242" t="s">
        <v>290</v>
      </c>
      <c r="E242" t="s">
        <v>819</v>
      </c>
      <c r="F242">
        <v>2094</v>
      </c>
      <c r="G242" t="s">
        <v>1245</v>
      </c>
      <c r="I242" t="s">
        <v>1298</v>
      </c>
      <c r="J242">
        <v>2</v>
      </c>
      <c r="K242">
        <v>0</v>
      </c>
      <c r="L242">
        <v>0</v>
      </c>
      <c r="M242" t="s">
        <v>1301</v>
      </c>
      <c r="N242">
        <v>14400</v>
      </c>
      <c r="O242">
        <v>10455</v>
      </c>
      <c r="P242" t="s">
        <v>1310</v>
      </c>
      <c r="Q242" t="s">
        <v>1322</v>
      </c>
      <c r="S242" t="s">
        <v>1338</v>
      </c>
      <c r="T242" t="s">
        <v>1334</v>
      </c>
      <c r="W242" t="s">
        <v>1361</v>
      </c>
      <c r="Y242" t="s">
        <v>1366</v>
      </c>
      <c r="AA242">
        <v>0</v>
      </c>
      <c r="AB242">
        <v>0</v>
      </c>
      <c r="AD242">
        <v>0</v>
      </c>
      <c r="AE242">
        <v>0</v>
      </c>
      <c r="AF242">
        <v>0</v>
      </c>
      <c r="AG242">
        <v>0</v>
      </c>
    </row>
    <row r="243" spans="1:33">
      <c r="A243" s="1">
        <f>HYPERLINK("https://lsnyc.legalserver.org/matter/dynamic-profile/view/6002198","Q10E-66002198")</f>
        <v>0</v>
      </c>
      <c r="B243" t="s">
        <v>34</v>
      </c>
      <c r="C243" t="s">
        <v>57</v>
      </c>
      <c r="D243" t="s">
        <v>291</v>
      </c>
      <c r="E243" t="s">
        <v>202</v>
      </c>
      <c r="F243">
        <v>2093</v>
      </c>
      <c r="G243" t="s">
        <v>1199</v>
      </c>
      <c r="I243" t="s">
        <v>1298</v>
      </c>
      <c r="J243">
        <v>2</v>
      </c>
      <c r="K243">
        <v>0</v>
      </c>
      <c r="L243">
        <v>0</v>
      </c>
      <c r="N243">
        <v>41232</v>
      </c>
      <c r="O243">
        <v>11369</v>
      </c>
      <c r="P243" t="s">
        <v>1308</v>
      </c>
      <c r="Q243" t="s">
        <v>1317</v>
      </c>
      <c r="S243" t="s">
        <v>1338</v>
      </c>
      <c r="AA243">
        <v>0</v>
      </c>
      <c r="AB243">
        <v>0</v>
      </c>
      <c r="AD243">
        <v>0</v>
      </c>
      <c r="AE243">
        <v>0</v>
      </c>
      <c r="AF243">
        <v>0</v>
      </c>
      <c r="AG243">
        <v>0</v>
      </c>
    </row>
    <row r="244" spans="1:33">
      <c r="A244" s="1">
        <f>HYPERLINK("https://lsnyc.legalserver.org/matter/dynamic-profile/view/0742125","13-0742125")</f>
        <v>0</v>
      </c>
      <c r="B244" t="s">
        <v>34</v>
      </c>
      <c r="C244" t="s">
        <v>64</v>
      </c>
      <c r="D244" t="s">
        <v>292</v>
      </c>
      <c r="E244" t="s">
        <v>820</v>
      </c>
      <c r="F244">
        <v>2093</v>
      </c>
      <c r="G244" t="s">
        <v>1246</v>
      </c>
      <c r="H244" t="s">
        <v>1254</v>
      </c>
      <c r="I244" t="s">
        <v>1298</v>
      </c>
      <c r="J244">
        <v>1</v>
      </c>
      <c r="K244">
        <v>1</v>
      </c>
      <c r="L244">
        <v>1</v>
      </c>
      <c r="M244" t="s">
        <v>1302</v>
      </c>
      <c r="N244">
        <v>22400</v>
      </c>
      <c r="O244">
        <v>11433</v>
      </c>
      <c r="P244" t="s">
        <v>1308</v>
      </c>
      <c r="Q244" t="s">
        <v>1324</v>
      </c>
      <c r="S244" t="s">
        <v>1338</v>
      </c>
      <c r="T244" t="s">
        <v>1340</v>
      </c>
      <c r="U244" t="s">
        <v>1354</v>
      </c>
      <c r="W244" t="s">
        <v>1365</v>
      </c>
      <c r="Y244" t="s">
        <v>1366</v>
      </c>
      <c r="AA244">
        <v>0</v>
      </c>
      <c r="AB244">
        <v>0</v>
      </c>
      <c r="AD244">
        <v>0</v>
      </c>
      <c r="AE244">
        <v>0</v>
      </c>
      <c r="AF244">
        <v>0</v>
      </c>
      <c r="AG244">
        <v>0</v>
      </c>
    </row>
    <row r="245" spans="1:33">
      <c r="A245" s="1">
        <f>HYPERLINK("https://lsnyc.legalserver.org/matter/dynamic-profile/view/0742223","13-0742223")</f>
        <v>0</v>
      </c>
      <c r="B245" t="s">
        <v>35</v>
      </c>
      <c r="C245" t="s">
        <v>55</v>
      </c>
      <c r="D245" t="s">
        <v>293</v>
      </c>
      <c r="E245" t="s">
        <v>821</v>
      </c>
      <c r="F245">
        <v>2091</v>
      </c>
      <c r="G245" t="s">
        <v>1181</v>
      </c>
      <c r="I245" t="s">
        <v>1298</v>
      </c>
      <c r="J245">
        <v>1</v>
      </c>
      <c r="K245">
        <v>3</v>
      </c>
      <c r="L245">
        <v>0</v>
      </c>
      <c r="M245" t="s">
        <v>1302</v>
      </c>
      <c r="N245">
        <v>84300</v>
      </c>
      <c r="O245">
        <v>11203</v>
      </c>
      <c r="P245" t="s">
        <v>1309</v>
      </c>
      <c r="Q245" t="s">
        <v>1315</v>
      </c>
      <c r="R245" t="s">
        <v>1325</v>
      </c>
      <c r="S245" t="s">
        <v>1338</v>
      </c>
      <c r="T245" t="s">
        <v>1350</v>
      </c>
      <c r="U245" t="s">
        <v>1354</v>
      </c>
      <c r="W245" t="s">
        <v>1365</v>
      </c>
      <c r="Y245" t="s">
        <v>1361</v>
      </c>
      <c r="AA245">
        <v>0</v>
      </c>
      <c r="AB245">
        <v>0</v>
      </c>
      <c r="AD245">
        <v>0</v>
      </c>
      <c r="AE245">
        <v>0</v>
      </c>
      <c r="AF245">
        <v>0</v>
      </c>
      <c r="AG245">
        <v>0</v>
      </c>
    </row>
    <row r="246" spans="1:33">
      <c r="A246" s="1">
        <f>HYPERLINK("https://lsnyc.legalserver.org/matter/dynamic-profile/view/0741681","13-0741681")</f>
        <v>0</v>
      </c>
      <c r="B246" t="s">
        <v>35</v>
      </c>
      <c r="C246" t="s">
        <v>51</v>
      </c>
      <c r="D246" t="s">
        <v>294</v>
      </c>
      <c r="E246" t="s">
        <v>822</v>
      </c>
      <c r="F246">
        <v>2091</v>
      </c>
      <c r="G246" t="s">
        <v>1247</v>
      </c>
      <c r="I246" t="s">
        <v>1298</v>
      </c>
      <c r="J246">
        <v>1</v>
      </c>
      <c r="K246">
        <v>0</v>
      </c>
      <c r="L246">
        <v>1</v>
      </c>
      <c r="M246" t="s">
        <v>1301</v>
      </c>
      <c r="N246">
        <v>18672</v>
      </c>
      <c r="O246">
        <v>11236</v>
      </c>
      <c r="P246" t="s">
        <v>1309</v>
      </c>
      <c r="Q246" t="s">
        <v>1319</v>
      </c>
      <c r="S246" t="s">
        <v>1338</v>
      </c>
      <c r="T246" t="s">
        <v>1333</v>
      </c>
      <c r="W246" t="s">
        <v>1382</v>
      </c>
      <c r="Y246" t="s">
        <v>1361</v>
      </c>
      <c r="AA246">
        <v>0</v>
      </c>
      <c r="AB246">
        <v>0</v>
      </c>
      <c r="AD246">
        <v>0</v>
      </c>
      <c r="AE246">
        <v>0</v>
      </c>
      <c r="AF246">
        <v>0</v>
      </c>
      <c r="AG246">
        <v>0</v>
      </c>
    </row>
    <row r="247" spans="1:33">
      <c r="A247" s="1">
        <f>HYPERLINK("https://lsnyc.legalserver.org/matter/dynamic-profile/view/0756422","14-0756422")</f>
        <v>0</v>
      </c>
      <c r="B247" t="s">
        <v>35</v>
      </c>
      <c r="C247" t="s">
        <v>61</v>
      </c>
      <c r="D247" t="s">
        <v>295</v>
      </c>
      <c r="E247" t="s">
        <v>823</v>
      </c>
      <c r="F247">
        <v>2091</v>
      </c>
      <c r="G247" t="s">
        <v>1248</v>
      </c>
      <c r="I247" t="s">
        <v>1298</v>
      </c>
      <c r="J247">
        <v>3</v>
      </c>
      <c r="K247">
        <v>0</v>
      </c>
      <c r="L247">
        <v>0</v>
      </c>
      <c r="M247" t="s">
        <v>1302</v>
      </c>
      <c r="N247">
        <v>75000</v>
      </c>
      <c r="O247">
        <v>11236</v>
      </c>
      <c r="P247" t="s">
        <v>1309</v>
      </c>
      <c r="Q247" t="s">
        <v>1319</v>
      </c>
      <c r="R247" t="s">
        <v>1320</v>
      </c>
      <c r="S247" t="s">
        <v>1338</v>
      </c>
      <c r="T247" t="s">
        <v>1333</v>
      </c>
      <c r="U247" t="s">
        <v>1354</v>
      </c>
      <c r="W247" t="s">
        <v>1361</v>
      </c>
      <c r="AA247">
        <v>0</v>
      </c>
      <c r="AB247">
        <v>0</v>
      </c>
      <c r="AD247">
        <v>0</v>
      </c>
      <c r="AE247">
        <v>0</v>
      </c>
      <c r="AF247">
        <v>0</v>
      </c>
      <c r="AG247">
        <v>0</v>
      </c>
    </row>
    <row r="248" spans="1:33">
      <c r="A248" s="1">
        <f>HYPERLINK("https://lsnyc.legalserver.org/matter/dynamic-profile/view/0757674","14-0757674")</f>
        <v>0</v>
      </c>
      <c r="B248" t="s">
        <v>35</v>
      </c>
      <c r="C248" t="s">
        <v>61</v>
      </c>
      <c r="D248" t="s">
        <v>296</v>
      </c>
      <c r="E248" t="s">
        <v>723</v>
      </c>
      <c r="F248">
        <v>2091</v>
      </c>
      <c r="G248" t="s">
        <v>1191</v>
      </c>
      <c r="I248" t="s">
        <v>1298</v>
      </c>
      <c r="J248">
        <v>1</v>
      </c>
      <c r="K248">
        <v>0</v>
      </c>
      <c r="L248">
        <v>0</v>
      </c>
      <c r="M248" t="s">
        <v>1302</v>
      </c>
      <c r="N248">
        <v>12408</v>
      </c>
      <c r="O248">
        <v>11207</v>
      </c>
      <c r="P248" t="s">
        <v>1309</v>
      </c>
      <c r="Q248" t="s">
        <v>1316</v>
      </c>
      <c r="S248" t="s">
        <v>1338</v>
      </c>
      <c r="T248" t="s">
        <v>1340</v>
      </c>
      <c r="U248" t="s">
        <v>1357</v>
      </c>
      <c r="W248" t="s">
        <v>1360</v>
      </c>
      <c r="Y248" t="s">
        <v>1383</v>
      </c>
      <c r="AA248">
        <v>0</v>
      </c>
      <c r="AB248">
        <v>0</v>
      </c>
      <c r="AD248">
        <v>0</v>
      </c>
      <c r="AE248">
        <v>0</v>
      </c>
      <c r="AF248">
        <v>0</v>
      </c>
      <c r="AG248">
        <v>0</v>
      </c>
    </row>
    <row r="249" spans="1:33">
      <c r="A249" s="1">
        <f>HYPERLINK("https://lsnyc.legalserver.org/matter/dynamic-profile/view/0760937","14-0760937")</f>
        <v>0</v>
      </c>
      <c r="B249" t="s">
        <v>34</v>
      </c>
      <c r="C249" t="s">
        <v>42</v>
      </c>
      <c r="D249" t="s">
        <v>297</v>
      </c>
      <c r="E249" t="s">
        <v>824</v>
      </c>
      <c r="F249">
        <v>2093</v>
      </c>
      <c r="G249" t="s">
        <v>1249</v>
      </c>
      <c r="H249" t="s">
        <v>1178</v>
      </c>
      <c r="I249" t="s">
        <v>1298</v>
      </c>
      <c r="J249">
        <v>3</v>
      </c>
      <c r="K249">
        <v>0</v>
      </c>
      <c r="L249">
        <v>0</v>
      </c>
      <c r="M249" t="s">
        <v>1301</v>
      </c>
      <c r="N249">
        <v>108000</v>
      </c>
      <c r="O249">
        <v>11413</v>
      </c>
      <c r="P249" t="s">
        <v>1308</v>
      </c>
      <c r="Q249" t="s">
        <v>1315</v>
      </c>
      <c r="S249" t="s">
        <v>1338</v>
      </c>
      <c r="U249" t="s">
        <v>1354</v>
      </c>
      <c r="W249" t="s">
        <v>1365</v>
      </c>
      <c r="AA249">
        <v>0</v>
      </c>
      <c r="AB249">
        <v>0</v>
      </c>
      <c r="AD249">
        <v>0</v>
      </c>
      <c r="AE249">
        <v>0</v>
      </c>
      <c r="AF249">
        <v>0</v>
      </c>
      <c r="AG249">
        <v>0</v>
      </c>
    </row>
    <row r="250" spans="1:33">
      <c r="A250" s="1">
        <f>HYPERLINK("https://lsnyc.legalserver.org/matter/dynamic-profile/view/0766557","14-0766557")</f>
        <v>0</v>
      </c>
      <c r="B250" t="s">
        <v>34</v>
      </c>
      <c r="C250" t="s">
        <v>57</v>
      </c>
      <c r="D250" t="s">
        <v>298</v>
      </c>
      <c r="E250" t="s">
        <v>825</v>
      </c>
      <c r="F250">
        <v>2093</v>
      </c>
      <c r="G250" t="s">
        <v>1206</v>
      </c>
      <c r="I250" t="s">
        <v>1298</v>
      </c>
      <c r="J250">
        <v>1</v>
      </c>
      <c r="K250">
        <v>0</v>
      </c>
      <c r="L250">
        <v>0</v>
      </c>
      <c r="M250" t="s">
        <v>1301</v>
      </c>
      <c r="N250">
        <v>22800</v>
      </c>
      <c r="O250">
        <v>11412</v>
      </c>
      <c r="P250" t="s">
        <v>1308</v>
      </c>
      <c r="Q250" t="s">
        <v>1316</v>
      </c>
      <c r="S250" t="s">
        <v>1338</v>
      </c>
      <c r="T250" t="s">
        <v>1333</v>
      </c>
      <c r="W250" t="s">
        <v>1361</v>
      </c>
      <c r="Y250" t="s">
        <v>1366</v>
      </c>
      <c r="AA250">
        <v>0</v>
      </c>
      <c r="AB250">
        <v>0</v>
      </c>
      <c r="AD250">
        <v>0</v>
      </c>
      <c r="AE250">
        <v>0</v>
      </c>
      <c r="AF250">
        <v>0</v>
      </c>
      <c r="AG250">
        <v>0</v>
      </c>
    </row>
    <row r="251" spans="1:33">
      <c r="A251" s="1">
        <f>HYPERLINK("https://lsnyc.legalserver.org/matter/dynamic-profile/view/0768254","14-0768254")</f>
        <v>0</v>
      </c>
      <c r="B251" t="s">
        <v>35</v>
      </c>
      <c r="C251" t="s">
        <v>40</v>
      </c>
      <c r="D251" t="s">
        <v>78</v>
      </c>
      <c r="E251" t="s">
        <v>613</v>
      </c>
      <c r="F251">
        <v>2091</v>
      </c>
      <c r="G251" t="s">
        <v>1180</v>
      </c>
      <c r="I251" t="s">
        <v>1298</v>
      </c>
      <c r="J251">
        <v>3</v>
      </c>
      <c r="K251">
        <v>6</v>
      </c>
      <c r="L251">
        <v>0</v>
      </c>
      <c r="M251" t="s">
        <v>1301</v>
      </c>
      <c r="N251">
        <v>45360</v>
      </c>
      <c r="O251">
        <v>11213</v>
      </c>
      <c r="P251" t="s">
        <v>1309</v>
      </c>
      <c r="Q251" t="s">
        <v>1317</v>
      </c>
      <c r="S251" t="s">
        <v>1338</v>
      </c>
      <c r="T251" t="s">
        <v>1335</v>
      </c>
      <c r="W251" t="s">
        <v>1365</v>
      </c>
      <c r="Y251" t="s">
        <v>1381</v>
      </c>
      <c r="AA251">
        <v>0</v>
      </c>
      <c r="AB251">
        <v>0</v>
      </c>
      <c r="AD251">
        <v>0</v>
      </c>
      <c r="AE251">
        <v>0</v>
      </c>
      <c r="AF251">
        <v>0</v>
      </c>
      <c r="AG251">
        <v>0</v>
      </c>
    </row>
    <row r="252" spans="1:33">
      <c r="A252" s="1">
        <f>HYPERLINK("https://lsnyc.legalserver.org/matter/dynamic-profile/view/0767851","14-0767851")</f>
        <v>0</v>
      </c>
      <c r="B252" t="s">
        <v>35</v>
      </c>
      <c r="C252" t="s">
        <v>40</v>
      </c>
      <c r="D252" t="s">
        <v>299</v>
      </c>
      <c r="E252" t="s">
        <v>826</v>
      </c>
      <c r="F252">
        <v>2091</v>
      </c>
      <c r="G252" t="s">
        <v>1178</v>
      </c>
      <c r="I252" t="s">
        <v>1298</v>
      </c>
      <c r="J252">
        <v>4</v>
      </c>
      <c r="K252">
        <v>1</v>
      </c>
      <c r="L252">
        <v>0</v>
      </c>
      <c r="M252" t="s">
        <v>1301</v>
      </c>
      <c r="N252">
        <v>67053.60000000001</v>
      </c>
      <c r="O252">
        <v>11236</v>
      </c>
      <c r="P252" t="s">
        <v>1309</v>
      </c>
      <c r="Q252" t="s">
        <v>1315</v>
      </c>
      <c r="R252" t="s">
        <v>1327</v>
      </c>
      <c r="S252" t="s">
        <v>1334</v>
      </c>
      <c r="T252" t="s">
        <v>1336</v>
      </c>
      <c r="U252" t="s">
        <v>1352</v>
      </c>
      <c r="W252" t="s">
        <v>1375</v>
      </c>
      <c r="Y252" t="s">
        <v>1366</v>
      </c>
      <c r="AA252">
        <v>1578.38</v>
      </c>
      <c r="AB252">
        <v>0</v>
      </c>
      <c r="AD252">
        <v>0</v>
      </c>
      <c r="AE252">
        <v>0</v>
      </c>
      <c r="AF252">
        <v>0</v>
      </c>
      <c r="AG252">
        <v>0</v>
      </c>
    </row>
    <row r="253" spans="1:33">
      <c r="A253" s="1">
        <f>HYPERLINK("https://lsnyc.legalserver.org/matter/dynamic-profile/view/0769783","15-0769783")</f>
        <v>0</v>
      </c>
      <c r="B253" t="s">
        <v>34</v>
      </c>
      <c r="C253" t="s">
        <v>64</v>
      </c>
      <c r="D253" t="s">
        <v>300</v>
      </c>
      <c r="E253" t="s">
        <v>827</v>
      </c>
      <c r="F253">
        <v>2093</v>
      </c>
      <c r="G253" t="s">
        <v>1213</v>
      </c>
      <c r="I253" t="s">
        <v>1298</v>
      </c>
      <c r="J253">
        <v>1</v>
      </c>
      <c r="K253">
        <v>0</v>
      </c>
      <c r="L253">
        <v>0</v>
      </c>
      <c r="M253" t="s">
        <v>1301</v>
      </c>
      <c r="N253">
        <v>26871</v>
      </c>
      <c r="O253">
        <v>11412</v>
      </c>
      <c r="P253" t="s">
        <v>1308</v>
      </c>
      <c r="Q253" t="s">
        <v>1315</v>
      </c>
      <c r="S253" t="s">
        <v>1338</v>
      </c>
      <c r="T253" t="s">
        <v>1332</v>
      </c>
      <c r="W253" t="s">
        <v>1366</v>
      </c>
      <c r="Y253" t="s">
        <v>1361</v>
      </c>
      <c r="AA253">
        <v>0</v>
      </c>
      <c r="AB253">
        <v>0</v>
      </c>
      <c r="AD253">
        <v>0</v>
      </c>
      <c r="AE253">
        <v>0</v>
      </c>
      <c r="AF253">
        <v>0</v>
      </c>
      <c r="AG253">
        <v>0</v>
      </c>
    </row>
    <row r="254" spans="1:33">
      <c r="A254" s="1">
        <f>HYPERLINK("https://lsnyc.legalserver.org/matter/dynamic-profile/view/0774072","15-0774072")</f>
        <v>0</v>
      </c>
      <c r="B254" t="s">
        <v>35</v>
      </c>
      <c r="C254" t="s">
        <v>40</v>
      </c>
      <c r="D254" t="s">
        <v>212</v>
      </c>
      <c r="E254" t="s">
        <v>828</v>
      </c>
      <c r="F254">
        <v>2091</v>
      </c>
      <c r="G254" t="s">
        <v>1225</v>
      </c>
      <c r="I254" t="s">
        <v>1298</v>
      </c>
      <c r="J254">
        <v>1</v>
      </c>
      <c r="K254">
        <v>1</v>
      </c>
      <c r="L254">
        <v>0</v>
      </c>
      <c r="M254" t="s">
        <v>1304</v>
      </c>
      <c r="N254">
        <v>65156</v>
      </c>
      <c r="O254">
        <v>11226</v>
      </c>
      <c r="P254" t="s">
        <v>1309</v>
      </c>
      <c r="Q254" t="s">
        <v>1319</v>
      </c>
      <c r="R254" t="s">
        <v>1321</v>
      </c>
      <c r="S254" t="s">
        <v>1338</v>
      </c>
      <c r="T254" t="s">
        <v>1336</v>
      </c>
      <c r="U254" t="s">
        <v>1357</v>
      </c>
      <c r="W254" t="s">
        <v>1361</v>
      </c>
      <c r="Y254" t="s">
        <v>1391</v>
      </c>
      <c r="AA254">
        <v>0</v>
      </c>
      <c r="AB254">
        <v>0</v>
      </c>
      <c r="AD254">
        <v>0</v>
      </c>
      <c r="AE254">
        <v>0</v>
      </c>
      <c r="AF254">
        <v>0</v>
      </c>
      <c r="AG254">
        <v>0</v>
      </c>
    </row>
    <row r="255" spans="1:33">
      <c r="A255" s="1">
        <f>HYPERLINK("https://lsnyc.legalserver.org/matter/dynamic-profile/view/0776293","15-0776293")</f>
        <v>0</v>
      </c>
      <c r="B255" t="s">
        <v>35</v>
      </c>
      <c r="C255" t="s">
        <v>51</v>
      </c>
      <c r="D255" t="s">
        <v>100</v>
      </c>
      <c r="E255" t="s">
        <v>723</v>
      </c>
      <c r="F255">
        <v>2091</v>
      </c>
      <c r="G255" t="s">
        <v>1182</v>
      </c>
      <c r="I255" t="s">
        <v>1298</v>
      </c>
      <c r="J255">
        <v>2</v>
      </c>
      <c r="K255">
        <v>1</v>
      </c>
      <c r="L255">
        <v>2</v>
      </c>
      <c r="N255">
        <v>49860</v>
      </c>
      <c r="O255">
        <v>11236</v>
      </c>
      <c r="P255" t="s">
        <v>1309</v>
      </c>
      <c r="Q255" t="s">
        <v>1322</v>
      </c>
      <c r="R255" t="s">
        <v>1329</v>
      </c>
      <c r="S255" t="s">
        <v>1338</v>
      </c>
      <c r="T255" t="s">
        <v>1336</v>
      </c>
      <c r="W255" t="s">
        <v>1382</v>
      </c>
      <c r="Y255" t="s">
        <v>1361</v>
      </c>
      <c r="AA255">
        <v>0</v>
      </c>
      <c r="AB255">
        <v>0</v>
      </c>
      <c r="AD255">
        <v>0</v>
      </c>
      <c r="AE255">
        <v>0</v>
      </c>
      <c r="AF255">
        <v>0</v>
      </c>
      <c r="AG255">
        <v>0</v>
      </c>
    </row>
    <row r="256" spans="1:33">
      <c r="A256" s="1">
        <f>HYPERLINK("https://lsnyc.legalserver.org/matter/dynamic-profile/view/0777969","15-0777969")</f>
        <v>0</v>
      </c>
      <c r="B256" t="s">
        <v>34</v>
      </c>
      <c r="C256" t="s">
        <v>42</v>
      </c>
      <c r="D256" t="s">
        <v>269</v>
      </c>
      <c r="E256" t="s">
        <v>829</v>
      </c>
      <c r="F256">
        <v>2093</v>
      </c>
      <c r="G256" t="s">
        <v>1208</v>
      </c>
      <c r="I256" t="s">
        <v>1298</v>
      </c>
      <c r="J256">
        <v>3</v>
      </c>
      <c r="K256">
        <v>1</v>
      </c>
      <c r="L256">
        <v>0</v>
      </c>
      <c r="M256" t="s">
        <v>1301</v>
      </c>
      <c r="N256">
        <v>52000</v>
      </c>
      <c r="O256">
        <v>11433</v>
      </c>
      <c r="P256" t="s">
        <v>1308</v>
      </c>
      <c r="Q256" t="s">
        <v>1315</v>
      </c>
      <c r="S256" t="s">
        <v>1338</v>
      </c>
      <c r="T256" t="s">
        <v>1340</v>
      </c>
      <c r="U256" t="s">
        <v>1352</v>
      </c>
      <c r="W256" t="s">
        <v>1360</v>
      </c>
      <c r="Y256" t="s">
        <v>1362</v>
      </c>
      <c r="AA256">
        <v>1978</v>
      </c>
      <c r="AB256">
        <v>0</v>
      </c>
      <c r="AD256">
        <v>87334.17999999999</v>
      </c>
      <c r="AE256">
        <v>0</v>
      </c>
      <c r="AF256">
        <v>0</v>
      </c>
      <c r="AG256">
        <v>0</v>
      </c>
    </row>
    <row r="257" spans="1:33">
      <c r="A257" s="1">
        <f>HYPERLINK("https://lsnyc.legalserver.org/matter/dynamic-profile/view/0780456","15-0780456")</f>
        <v>0</v>
      </c>
      <c r="B257" t="s">
        <v>34</v>
      </c>
      <c r="C257" t="s">
        <v>49</v>
      </c>
      <c r="D257" t="s">
        <v>301</v>
      </c>
      <c r="E257" t="s">
        <v>830</v>
      </c>
      <c r="F257">
        <v>2093</v>
      </c>
      <c r="G257" t="s">
        <v>1250</v>
      </c>
      <c r="I257" t="s">
        <v>1298</v>
      </c>
      <c r="J257">
        <v>2</v>
      </c>
      <c r="K257">
        <v>0</v>
      </c>
      <c r="L257">
        <v>2</v>
      </c>
      <c r="M257" t="s">
        <v>1301</v>
      </c>
      <c r="N257">
        <v>31200</v>
      </c>
      <c r="O257">
        <v>11412</v>
      </c>
      <c r="P257" t="s">
        <v>1308</v>
      </c>
      <c r="Q257" t="s">
        <v>1316</v>
      </c>
      <c r="S257" t="s">
        <v>1332</v>
      </c>
      <c r="W257" t="s">
        <v>1361</v>
      </c>
      <c r="AA257">
        <v>0</v>
      </c>
      <c r="AB257">
        <v>0</v>
      </c>
      <c r="AD257">
        <v>0</v>
      </c>
      <c r="AE257">
        <v>0</v>
      </c>
      <c r="AF257">
        <v>0</v>
      </c>
      <c r="AG257">
        <v>0</v>
      </c>
    </row>
    <row r="258" spans="1:33">
      <c r="A258" s="1">
        <f>HYPERLINK("https://lsnyc.legalserver.org/matter/dynamic-profile/view/0781859","15-0781859")</f>
        <v>0</v>
      </c>
      <c r="B258" t="s">
        <v>35</v>
      </c>
      <c r="C258" t="s">
        <v>40</v>
      </c>
      <c r="D258" t="s">
        <v>285</v>
      </c>
      <c r="E258" t="s">
        <v>831</v>
      </c>
      <c r="F258">
        <v>2091</v>
      </c>
      <c r="G258" t="s">
        <v>1183</v>
      </c>
      <c r="I258" t="s">
        <v>1298</v>
      </c>
      <c r="J258">
        <v>1</v>
      </c>
      <c r="K258">
        <v>0</v>
      </c>
      <c r="L258">
        <v>0</v>
      </c>
      <c r="M258" t="s">
        <v>1302</v>
      </c>
      <c r="N258">
        <v>24000</v>
      </c>
      <c r="O258">
        <v>11207</v>
      </c>
      <c r="P258" t="s">
        <v>1309</v>
      </c>
      <c r="Q258" t="s">
        <v>1317</v>
      </c>
      <c r="R258" t="s">
        <v>1325</v>
      </c>
      <c r="S258" t="s">
        <v>1338</v>
      </c>
      <c r="T258" t="s">
        <v>1336</v>
      </c>
      <c r="W258" t="s">
        <v>1361</v>
      </c>
      <c r="Y258" t="s">
        <v>1365</v>
      </c>
      <c r="AA258">
        <v>0</v>
      </c>
      <c r="AB258">
        <v>0</v>
      </c>
      <c r="AD258">
        <v>0</v>
      </c>
      <c r="AE258">
        <v>0</v>
      </c>
      <c r="AF258">
        <v>0</v>
      </c>
      <c r="AG258">
        <v>0</v>
      </c>
    </row>
    <row r="259" spans="1:33">
      <c r="A259" s="1">
        <f>HYPERLINK("https://lsnyc.legalserver.org/matter/dynamic-profile/view/0782526","15-0782526")</f>
        <v>0</v>
      </c>
      <c r="B259" t="s">
        <v>35</v>
      </c>
      <c r="C259" t="s">
        <v>40</v>
      </c>
      <c r="D259" t="s">
        <v>302</v>
      </c>
      <c r="E259" t="s">
        <v>832</v>
      </c>
      <c r="F259">
        <v>2091</v>
      </c>
      <c r="G259" t="s">
        <v>1202</v>
      </c>
      <c r="I259" t="s">
        <v>1298</v>
      </c>
      <c r="J259">
        <v>4</v>
      </c>
      <c r="K259">
        <v>4</v>
      </c>
      <c r="L259">
        <v>0</v>
      </c>
      <c r="M259" t="s">
        <v>1302</v>
      </c>
      <c r="N259">
        <v>101534.32</v>
      </c>
      <c r="O259">
        <v>11226</v>
      </c>
      <c r="P259" t="s">
        <v>1309</v>
      </c>
      <c r="Q259" t="s">
        <v>1325</v>
      </c>
      <c r="R259" t="s">
        <v>1315</v>
      </c>
      <c r="S259" t="s">
        <v>1338</v>
      </c>
      <c r="T259" t="s">
        <v>1336</v>
      </c>
      <c r="W259" t="s">
        <v>1361</v>
      </c>
      <c r="Y259" t="s">
        <v>1365</v>
      </c>
      <c r="AA259">
        <v>0</v>
      </c>
      <c r="AB259">
        <v>0</v>
      </c>
      <c r="AD259">
        <v>0</v>
      </c>
      <c r="AE259">
        <v>0</v>
      </c>
      <c r="AF259">
        <v>0</v>
      </c>
      <c r="AG259">
        <v>0</v>
      </c>
    </row>
    <row r="260" spans="1:33">
      <c r="A260" s="1">
        <f>HYPERLINK("https://lsnyc.legalserver.org/matter/dynamic-profile/view/0783404","15-0783404")</f>
        <v>0</v>
      </c>
      <c r="B260" t="s">
        <v>35</v>
      </c>
      <c r="C260" t="s">
        <v>40</v>
      </c>
      <c r="D260" t="s">
        <v>136</v>
      </c>
      <c r="E260" t="s">
        <v>833</v>
      </c>
      <c r="F260">
        <v>2091</v>
      </c>
      <c r="G260" t="s">
        <v>1251</v>
      </c>
      <c r="I260" t="s">
        <v>1298</v>
      </c>
      <c r="J260">
        <v>2</v>
      </c>
      <c r="K260">
        <v>0</v>
      </c>
      <c r="L260">
        <v>0</v>
      </c>
      <c r="M260" t="s">
        <v>1302</v>
      </c>
      <c r="N260">
        <v>14880</v>
      </c>
      <c r="O260">
        <v>11221</v>
      </c>
      <c r="P260" t="s">
        <v>1309</v>
      </c>
      <c r="Q260" t="s">
        <v>1315</v>
      </c>
      <c r="R260" t="s">
        <v>1314</v>
      </c>
      <c r="S260" t="s">
        <v>1345</v>
      </c>
      <c r="T260" t="s">
        <v>1336</v>
      </c>
      <c r="W260" t="s">
        <v>1361</v>
      </c>
      <c r="Y260" t="s">
        <v>1365</v>
      </c>
      <c r="AA260">
        <v>0</v>
      </c>
      <c r="AB260">
        <v>0</v>
      </c>
      <c r="AD260">
        <v>0</v>
      </c>
      <c r="AE260">
        <v>0</v>
      </c>
      <c r="AF260">
        <v>0</v>
      </c>
      <c r="AG260">
        <v>0</v>
      </c>
    </row>
    <row r="261" spans="1:33">
      <c r="A261" s="1">
        <f>HYPERLINK("https://lsnyc.legalserver.org/matter/dynamic-profile/view/0789081","15-0789081")</f>
        <v>0</v>
      </c>
      <c r="B261" t="s">
        <v>36</v>
      </c>
      <c r="C261" t="s">
        <v>58</v>
      </c>
      <c r="D261" t="s">
        <v>156</v>
      </c>
      <c r="E261" t="s">
        <v>634</v>
      </c>
      <c r="F261">
        <v>2094</v>
      </c>
      <c r="G261" t="s">
        <v>1193</v>
      </c>
      <c r="I261" t="s">
        <v>1298</v>
      </c>
      <c r="J261">
        <v>1</v>
      </c>
      <c r="K261">
        <v>0</v>
      </c>
      <c r="L261">
        <v>1</v>
      </c>
      <c r="M261" t="s">
        <v>1301</v>
      </c>
      <c r="N261">
        <v>25284</v>
      </c>
      <c r="O261">
        <v>10466</v>
      </c>
      <c r="P261" t="s">
        <v>1310</v>
      </c>
      <c r="Q261" t="s">
        <v>1330</v>
      </c>
      <c r="S261" t="s">
        <v>1334</v>
      </c>
      <c r="T261" t="s">
        <v>1340</v>
      </c>
      <c r="U261" t="s">
        <v>1352</v>
      </c>
      <c r="W261" t="s">
        <v>1375</v>
      </c>
      <c r="Y261" t="s">
        <v>1360</v>
      </c>
      <c r="AA261">
        <v>1632.93</v>
      </c>
      <c r="AB261">
        <v>0</v>
      </c>
      <c r="AC261">
        <v>1978.46</v>
      </c>
      <c r="AD261">
        <v>0</v>
      </c>
      <c r="AE261">
        <v>0</v>
      </c>
      <c r="AF261">
        <v>0</v>
      </c>
      <c r="AG261">
        <v>0</v>
      </c>
    </row>
    <row r="262" spans="1:33">
      <c r="A262" s="1">
        <f>HYPERLINK("https://lsnyc.legalserver.org/matter/dynamic-profile/view/0794584","15-0794584")</f>
        <v>0</v>
      </c>
      <c r="B262" t="s">
        <v>34</v>
      </c>
      <c r="C262" t="s">
        <v>65</v>
      </c>
      <c r="D262" t="s">
        <v>298</v>
      </c>
      <c r="E262" t="s">
        <v>834</v>
      </c>
      <c r="F262">
        <v>2093</v>
      </c>
      <c r="I262" t="s">
        <v>1298</v>
      </c>
      <c r="J262">
        <v>1</v>
      </c>
      <c r="K262">
        <v>0</v>
      </c>
      <c r="L262">
        <v>1</v>
      </c>
      <c r="N262">
        <v>8820</v>
      </c>
      <c r="O262">
        <v>11434</v>
      </c>
      <c r="P262" t="s">
        <v>1308</v>
      </c>
      <c r="Q262" t="s">
        <v>1322</v>
      </c>
      <c r="S262" t="s">
        <v>1338</v>
      </c>
      <c r="T262" t="s">
        <v>1343</v>
      </c>
      <c r="W262" t="s">
        <v>1366</v>
      </c>
      <c r="AA262">
        <v>0</v>
      </c>
      <c r="AB262">
        <v>0</v>
      </c>
      <c r="AD262">
        <v>0</v>
      </c>
      <c r="AE262">
        <v>0</v>
      </c>
      <c r="AF262">
        <v>0</v>
      </c>
      <c r="AG262">
        <v>0</v>
      </c>
    </row>
    <row r="263" spans="1:33">
      <c r="A263" s="1">
        <f>HYPERLINK("https://lsnyc.legalserver.org/matter/dynamic-profile/view/0795713","16-0795713")</f>
        <v>0</v>
      </c>
      <c r="B263" t="s">
        <v>33</v>
      </c>
      <c r="C263" t="s">
        <v>38</v>
      </c>
      <c r="D263" t="s">
        <v>303</v>
      </c>
      <c r="E263" t="s">
        <v>835</v>
      </c>
      <c r="F263">
        <v>2090</v>
      </c>
      <c r="G263" t="s">
        <v>1252</v>
      </c>
      <c r="I263" t="s">
        <v>1298</v>
      </c>
      <c r="J263">
        <v>1</v>
      </c>
      <c r="K263">
        <v>1</v>
      </c>
      <c r="L263">
        <v>0</v>
      </c>
      <c r="N263">
        <v>9858.42</v>
      </c>
      <c r="O263">
        <v>10301</v>
      </c>
      <c r="P263" t="s">
        <v>1307</v>
      </c>
      <c r="Q263" t="s">
        <v>1317</v>
      </c>
      <c r="S263" t="s">
        <v>1338</v>
      </c>
      <c r="T263" t="s">
        <v>1336</v>
      </c>
      <c r="W263" t="s">
        <v>1366</v>
      </c>
      <c r="Y263" t="s">
        <v>1381</v>
      </c>
      <c r="AA263">
        <v>0</v>
      </c>
      <c r="AB263">
        <v>0</v>
      </c>
      <c r="AD263">
        <v>0</v>
      </c>
      <c r="AE263">
        <v>0</v>
      </c>
      <c r="AF263">
        <v>0</v>
      </c>
      <c r="AG263">
        <v>0</v>
      </c>
    </row>
    <row r="264" spans="1:33">
      <c r="A264" s="1">
        <f>HYPERLINK("https://lsnyc.legalserver.org/matter/dynamic-profile/view/0797205","16-0797205")</f>
        <v>0</v>
      </c>
      <c r="B264" t="s">
        <v>34</v>
      </c>
      <c r="C264" t="s">
        <v>42</v>
      </c>
      <c r="D264" t="s">
        <v>304</v>
      </c>
      <c r="E264" t="s">
        <v>836</v>
      </c>
      <c r="F264">
        <v>2093</v>
      </c>
      <c r="G264" t="s">
        <v>1197</v>
      </c>
      <c r="I264" t="s">
        <v>1298</v>
      </c>
      <c r="J264">
        <v>1</v>
      </c>
      <c r="K264">
        <v>3</v>
      </c>
      <c r="L264">
        <v>0</v>
      </c>
      <c r="M264" t="s">
        <v>1301</v>
      </c>
      <c r="N264">
        <v>109200</v>
      </c>
      <c r="O264">
        <v>11433</v>
      </c>
      <c r="P264" t="s">
        <v>1308</v>
      </c>
      <c r="Q264" t="s">
        <v>1325</v>
      </c>
      <c r="S264" t="s">
        <v>1338</v>
      </c>
      <c r="U264" t="s">
        <v>1357</v>
      </c>
      <c r="AA264">
        <v>0</v>
      </c>
      <c r="AB264">
        <v>0</v>
      </c>
      <c r="AD264">
        <v>0</v>
      </c>
      <c r="AE264">
        <v>0</v>
      </c>
      <c r="AF264">
        <v>0</v>
      </c>
      <c r="AG264">
        <v>0</v>
      </c>
    </row>
    <row r="265" spans="1:33">
      <c r="A265" s="1">
        <f>HYPERLINK("https://lsnyc.legalserver.org/matter/dynamic-profile/view/0799292","16-0799292")</f>
        <v>0</v>
      </c>
      <c r="B265" t="s">
        <v>34</v>
      </c>
      <c r="C265" t="s">
        <v>49</v>
      </c>
      <c r="D265" t="s">
        <v>305</v>
      </c>
      <c r="E265" t="s">
        <v>837</v>
      </c>
      <c r="F265">
        <v>2093</v>
      </c>
      <c r="G265" t="s">
        <v>1182</v>
      </c>
      <c r="I265" t="s">
        <v>1298</v>
      </c>
      <c r="J265">
        <v>3</v>
      </c>
      <c r="K265">
        <v>1</v>
      </c>
      <c r="L265">
        <v>2</v>
      </c>
      <c r="M265" t="s">
        <v>1302</v>
      </c>
      <c r="N265">
        <v>83996</v>
      </c>
      <c r="O265">
        <v>11691</v>
      </c>
      <c r="P265" t="s">
        <v>1308</v>
      </c>
      <c r="Q265" t="s">
        <v>1315</v>
      </c>
      <c r="R265" t="s">
        <v>1328</v>
      </c>
      <c r="S265" t="s">
        <v>1333</v>
      </c>
      <c r="T265" t="s">
        <v>1340</v>
      </c>
      <c r="U265" t="s">
        <v>1352</v>
      </c>
      <c r="W265" t="s">
        <v>1360</v>
      </c>
      <c r="AA265">
        <v>1665.72</v>
      </c>
      <c r="AB265">
        <v>0</v>
      </c>
      <c r="AD265">
        <v>68250.07000000001</v>
      </c>
      <c r="AE265">
        <v>0</v>
      </c>
      <c r="AF265">
        <v>0</v>
      </c>
      <c r="AG265">
        <v>0</v>
      </c>
    </row>
    <row r="266" spans="1:33">
      <c r="A266" s="1">
        <f>HYPERLINK("https://lsnyc.legalserver.org/matter/dynamic-profile/view/0799992","16-0799992")</f>
        <v>0</v>
      </c>
      <c r="B266" t="s">
        <v>35</v>
      </c>
      <c r="C266" t="s">
        <v>67</v>
      </c>
      <c r="D266" t="s">
        <v>306</v>
      </c>
      <c r="E266" t="s">
        <v>795</v>
      </c>
      <c r="F266">
        <v>2091</v>
      </c>
      <c r="I266" t="s">
        <v>1298</v>
      </c>
      <c r="J266">
        <v>2</v>
      </c>
      <c r="K266">
        <v>0</v>
      </c>
      <c r="L266">
        <v>0</v>
      </c>
      <c r="N266">
        <v>21588</v>
      </c>
      <c r="O266">
        <v>11208</v>
      </c>
      <c r="P266" t="s">
        <v>1309</v>
      </c>
      <c r="Q266" t="s">
        <v>1329</v>
      </c>
      <c r="S266" t="s">
        <v>1338</v>
      </c>
      <c r="T266" t="s">
        <v>1336</v>
      </c>
      <c r="W266" t="s">
        <v>1382</v>
      </c>
      <c r="Y266" t="s">
        <v>1365</v>
      </c>
      <c r="AA266">
        <v>0</v>
      </c>
      <c r="AB266">
        <v>0</v>
      </c>
      <c r="AD266">
        <v>0</v>
      </c>
      <c r="AE266">
        <v>0</v>
      </c>
      <c r="AF266">
        <v>0</v>
      </c>
      <c r="AG266">
        <v>0</v>
      </c>
    </row>
    <row r="267" spans="1:33">
      <c r="A267" s="1">
        <f>HYPERLINK("https://lsnyc.legalserver.org/matter/dynamic-profile/view/0807834","16-0807834")</f>
        <v>0</v>
      </c>
      <c r="B267" t="s">
        <v>35</v>
      </c>
      <c r="C267" t="s">
        <v>40</v>
      </c>
      <c r="D267" t="s">
        <v>307</v>
      </c>
      <c r="E267" t="s">
        <v>469</v>
      </c>
      <c r="F267">
        <v>2091</v>
      </c>
      <c r="G267" t="s">
        <v>1253</v>
      </c>
      <c r="I267" t="s">
        <v>1298</v>
      </c>
      <c r="J267">
        <v>4</v>
      </c>
      <c r="K267">
        <v>0</v>
      </c>
      <c r="L267">
        <v>2</v>
      </c>
      <c r="M267" t="s">
        <v>1302</v>
      </c>
      <c r="N267">
        <v>71280</v>
      </c>
      <c r="O267">
        <v>11207</v>
      </c>
      <c r="P267" t="s">
        <v>1309</v>
      </c>
      <c r="Q267" t="s">
        <v>1317</v>
      </c>
      <c r="R267" t="s">
        <v>1319</v>
      </c>
      <c r="S267" t="s">
        <v>1338</v>
      </c>
      <c r="T267" t="s">
        <v>1337</v>
      </c>
      <c r="W267" t="s">
        <v>1361</v>
      </c>
      <c r="Y267" t="s">
        <v>1365</v>
      </c>
      <c r="AA267">
        <v>0</v>
      </c>
      <c r="AB267">
        <v>0</v>
      </c>
      <c r="AD267">
        <v>0</v>
      </c>
      <c r="AE267">
        <v>0</v>
      </c>
      <c r="AF267">
        <v>0</v>
      </c>
      <c r="AG267">
        <v>0</v>
      </c>
    </row>
    <row r="268" spans="1:33">
      <c r="A268" s="1">
        <f>HYPERLINK("https://lsnyc.legalserver.org/matter/dynamic-profile/view/0802370","16-0802370")</f>
        <v>0</v>
      </c>
      <c r="B268" t="s">
        <v>35</v>
      </c>
      <c r="C268" t="s">
        <v>40</v>
      </c>
      <c r="D268" t="s">
        <v>173</v>
      </c>
      <c r="E268" t="s">
        <v>838</v>
      </c>
      <c r="F268">
        <v>2091</v>
      </c>
      <c r="G268" t="s">
        <v>1188</v>
      </c>
      <c r="I268" t="s">
        <v>1298</v>
      </c>
      <c r="J268">
        <v>3</v>
      </c>
      <c r="K268">
        <v>0</v>
      </c>
      <c r="L268">
        <v>1</v>
      </c>
      <c r="M268" t="s">
        <v>1302</v>
      </c>
      <c r="N268">
        <v>74796</v>
      </c>
      <c r="O268">
        <v>11208</v>
      </c>
      <c r="P268" t="s">
        <v>1309</v>
      </c>
      <c r="Q268" t="s">
        <v>1317</v>
      </c>
      <c r="S268" t="s">
        <v>1338</v>
      </c>
      <c r="T268" t="s">
        <v>1336</v>
      </c>
      <c r="U268" t="s">
        <v>1357</v>
      </c>
      <c r="W268" t="s">
        <v>1365</v>
      </c>
      <c r="Y268" t="s">
        <v>1366</v>
      </c>
      <c r="AA268">
        <v>0</v>
      </c>
      <c r="AB268">
        <v>0</v>
      </c>
      <c r="AD268">
        <v>0</v>
      </c>
      <c r="AE268">
        <v>0</v>
      </c>
      <c r="AF268">
        <v>0</v>
      </c>
      <c r="AG268">
        <v>0</v>
      </c>
    </row>
    <row r="269" spans="1:33">
      <c r="A269" s="1">
        <f>HYPERLINK("https://lsnyc.legalserver.org/matter/dynamic-profile/view/0803329","16-0803329")</f>
        <v>0</v>
      </c>
      <c r="B269" t="s">
        <v>34</v>
      </c>
      <c r="C269" t="s">
        <v>42</v>
      </c>
      <c r="D269" t="s">
        <v>308</v>
      </c>
      <c r="E269" t="s">
        <v>839</v>
      </c>
      <c r="F269">
        <v>2093</v>
      </c>
      <c r="G269" t="s">
        <v>1254</v>
      </c>
      <c r="I269" t="s">
        <v>1298</v>
      </c>
      <c r="J269">
        <v>1</v>
      </c>
      <c r="K269">
        <v>0</v>
      </c>
      <c r="L269">
        <v>0</v>
      </c>
      <c r="M269" t="s">
        <v>1301</v>
      </c>
      <c r="N269">
        <v>10000</v>
      </c>
      <c r="O269">
        <v>11434</v>
      </c>
      <c r="P269" t="s">
        <v>1308</v>
      </c>
      <c r="Q269" t="s">
        <v>1315</v>
      </c>
      <c r="R269" t="s">
        <v>1325</v>
      </c>
      <c r="S269" t="s">
        <v>1338</v>
      </c>
      <c r="AA269">
        <v>0</v>
      </c>
      <c r="AB269">
        <v>0</v>
      </c>
      <c r="AD269">
        <v>0</v>
      </c>
      <c r="AE269">
        <v>0</v>
      </c>
      <c r="AF269">
        <v>0</v>
      </c>
      <c r="AG269">
        <v>0</v>
      </c>
    </row>
    <row r="270" spans="1:33">
      <c r="A270" s="1">
        <f>HYPERLINK("https://lsnyc.legalserver.org/matter/dynamic-profile/view/0807950","16-0807950")</f>
        <v>0</v>
      </c>
      <c r="B270" t="s">
        <v>34</v>
      </c>
      <c r="C270" t="s">
        <v>42</v>
      </c>
      <c r="D270" t="s">
        <v>190</v>
      </c>
      <c r="E270" t="s">
        <v>840</v>
      </c>
      <c r="F270">
        <v>2093</v>
      </c>
      <c r="G270" t="s">
        <v>1178</v>
      </c>
      <c r="I270" t="s">
        <v>1298</v>
      </c>
      <c r="J270">
        <v>2</v>
      </c>
      <c r="K270">
        <v>0</v>
      </c>
      <c r="L270">
        <v>1</v>
      </c>
      <c r="M270" t="s">
        <v>1302</v>
      </c>
      <c r="N270">
        <v>31800</v>
      </c>
      <c r="O270">
        <v>11422</v>
      </c>
      <c r="P270" t="s">
        <v>1308</v>
      </c>
      <c r="Q270" t="s">
        <v>1315</v>
      </c>
      <c r="S270" t="s">
        <v>1338</v>
      </c>
      <c r="U270" t="s">
        <v>1354</v>
      </c>
      <c r="AA270">
        <v>0</v>
      </c>
      <c r="AB270">
        <v>0</v>
      </c>
      <c r="AD270">
        <v>0</v>
      </c>
      <c r="AE270">
        <v>0</v>
      </c>
      <c r="AF270">
        <v>0</v>
      </c>
      <c r="AG270">
        <v>0</v>
      </c>
    </row>
    <row r="271" spans="1:33">
      <c r="A271" s="1">
        <f>HYPERLINK("https://lsnyc.legalserver.org/matter/dynamic-profile/view/0808173","16-0808173")</f>
        <v>0</v>
      </c>
      <c r="B271" t="s">
        <v>35</v>
      </c>
      <c r="C271" t="s">
        <v>40</v>
      </c>
      <c r="D271" t="s">
        <v>217</v>
      </c>
      <c r="E271" t="s">
        <v>841</v>
      </c>
      <c r="F271">
        <v>2091</v>
      </c>
      <c r="G271" t="s">
        <v>1188</v>
      </c>
      <c r="I271" t="s">
        <v>1298</v>
      </c>
      <c r="J271">
        <v>3</v>
      </c>
      <c r="K271">
        <v>0</v>
      </c>
      <c r="L271">
        <v>3</v>
      </c>
      <c r="N271">
        <v>136760</v>
      </c>
      <c r="O271">
        <v>11236</v>
      </c>
      <c r="P271" t="s">
        <v>1309</v>
      </c>
      <c r="Q271" t="s">
        <v>1315</v>
      </c>
      <c r="R271" t="s">
        <v>1321</v>
      </c>
      <c r="S271" t="s">
        <v>1338</v>
      </c>
      <c r="T271" t="s">
        <v>1332</v>
      </c>
      <c r="U271" t="s">
        <v>1357</v>
      </c>
      <c r="W271" t="s">
        <v>1361</v>
      </c>
      <c r="Y271" t="s">
        <v>1366</v>
      </c>
      <c r="AA271">
        <v>0</v>
      </c>
      <c r="AB271">
        <v>0</v>
      </c>
      <c r="AD271">
        <v>0</v>
      </c>
      <c r="AE271">
        <v>0</v>
      </c>
      <c r="AF271">
        <v>0</v>
      </c>
      <c r="AG271">
        <v>0</v>
      </c>
    </row>
    <row r="272" spans="1:33">
      <c r="A272" s="1">
        <f>HYPERLINK("https://lsnyc.legalserver.org/matter/dynamic-profile/view/0809434","16-0809434")</f>
        <v>0</v>
      </c>
      <c r="B272" t="s">
        <v>35</v>
      </c>
      <c r="C272" t="s">
        <v>40</v>
      </c>
      <c r="D272" t="s">
        <v>309</v>
      </c>
      <c r="E272" t="s">
        <v>842</v>
      </c>
      <c r="F272">
        <v>2091</v>
      </c>
      <c r="G272" t="s">
        <v>1179</v>
      </c>
      <c r="I272" t="s">
        <v>1298</v>
      </c>
      <c r="J272">
        <v>4</v>
      </c>
      <c r="K272">
        <v>1</v>
      </c>
      <c r="L272">
        <v>0</v>
      </c>
      <c r="M272" t="s">
        <v>1304</v>
      </c>
      <c r="N272">
        <v>48000</v>
      </c>
      <c r="O272">
        <v>11213</v>
      </c>
      <c r="P272" t="s">
        <v>1309</v>
      </c>
      <c r="Q272" t="s">
        <v>1315</v>
      </c>
      <c r="R272" t="s">
        <v>1314</v>
      </c>
      <c r="S272" t="s">
        <v>1338</v>
      </c>
      <c r="T272" t="s">
        <v>1333</v>
      </c>
      <c r="U272" t="s">
        <v>1354</v>
      </c>
      <c r="W272" t="s">
        <v>1361</v>
      </c>
      <c r="Y272" t="s">
        <v>1365</v>
      </c>
      <c r="AA272">
        <v>0</v>
      </c>
      <c r="AB272">
        <v>0</v>
      </c>
      <c r="AD272">
        <v>0</v>
      </c>
      <c r="AE272">
        <v>0</v>
      </c>
      <c r="AF272">
        <v>0</v>
      </c>
      <c r="AG272">
        <v>0</v>
      </c>
    </row>
    <row r="273" spans="1:33">
      <c r="A273" s="1">
        <f>HYPERLINK("https://lsnyc.legalserver.org/matter/dynamic-profile/view/0810758","16-0810758")</f>
        <v>0</v>
      </c>
      <c r="B273" t="s">
        <v>35</v>
      </c>
      <c r="C273" t="s">
        <v>55</v>
      </c>
      <c r="D273" t="s">
        <v>310</v>
      </c>
      <c r="E273" t="s">
        <v>843</v>
      </c>
      <c r="F273">
        <v>2091</v>
      </c>
      <c r="G273" t="s">
        <v>1202</v>
      </c>
      <c r="I273" t="s">
        <v>1298</v>
      </c>
      <c r="J273">
        <v>1</v>
      </c>
      <c r="K273">
        <v>0</v>
      </c>
      <c r="L273">
        <v>0</v>
      </c>
      <c r="M273" t="s">
        <v>1302</v>
      </c>
      <c r="N273">
        <v>53940</v>
      </c>
      <c r="O273">
        <v>11208</v>
      </c>
      <c r="P273" t="s">
        <v>1309</v>
      </c>
      <c r="Q273" t="s">
        <v>1321</v>
      </c>
      <c r="R273" t="s">
        <v>1315</v>
      </c>
      <c r="S273" t="s">
        <v>1333</v>
      </c>
      <c r="T273" t="s">
        <v>1340</v>
      </c>
      <c r="U273" t="s">
        <v>1358</v>
      </c>
      <c r="W273" t="s">
        <v>1361</v>
      </c>
      <c r="Y273" t="s">
        <v>1366</v>
      </c>
      <c r="AA273">
        <v>0</v>
      </c>
      <c r="AB273">
        <v>0</v>
      </c>
      <c r="AD273">
        <v>0</v>
      </c>
      <c r="AE273">
        <v>0</v>
      </c>
      <c r="AF273">
        <v>0</v>
      </c>
      <c r="AG273">
        <v>0</v>
      </c>
    </row>
    <row r="274" spans="1:33">
      <c r="A274" s="1">
        <f>HYPERLINK("https://lsnyc.legalserver.org/matter/dynamic-profile/view/0813001","16-0813001")</f>
        <v>0</v>
      </c>
      <c r="B274" t="s">
        <v>35</v>
      </c>
      <c r="C274" t="s">
        <v>67</v>
      </c>
      <c r="D274" t="s">
        <v>306</v>
      </c>
      <c r="E274" t="s">
        <v>768</v>
      </c>
      <c r="F274">
        <v>2091</v>
      </c>
      <c r="I274" t="s">
        <v>1298</v>
      </c>
      <c r="J274">
        <v>2</v>
      </c>
      <c r="K274">
        <v>0</v>
      </c>
      <c r="L274">
        <v>2</v>
      </c>
      <c r="M274" t="s">
        <v>1301</v>
      </c>
      <c r="N274">
        <v>43084</v>
      </c>
      <c r="O274">
        <v>11207</v>
      </c>
      <c r="P274" t="s">
        <v>1309</v>
      </c>
      <c r="Q274" t="s">
        <v>1322</v>
      </c>
      <c r="S274" t="s">
        <v>1338</v>
      </c>
      <c r="AA274">
        <v>0</v>
      </c>
      <c r="AB274">
        <v>0</v>
      </c>
      <c r="AD274">
        <v>0</v>
      </c>
      <c r="AE274">
        <v>0</v>
      </c>
      <c r="AF274">
        <v>0</v>
      </c>
      <c r="AG274">
        <v>0</v>
      </c>
    </row>
    <row r="275" spans="1:33">
      <c r="A275" s="1">
        <f>HYPERLINK("https://lsnyc.legalserver.org/matter/dynamic-profile/view/0815200","16-0815200")</f>
        <v>0</v>
      </c>
      <c r="B275" t="s">
        <v>35</v>
      </c>
      <c r="C275" t="s">
        <v>40</v>
      </c>
      <c r="D275" t="s">
        <v>311</v>
      </c>
      <c r="E275" t="s">
        <v>147</v>
      </c>
      <c r="F275">
        <v>2091</v>
      </c>
      <c r="G275" t="s">
        <v>1179</v>
      </c>
      <c r="I275" t="s">
        <v>1298</v>
      </c>
      <c r="J275">
        <v>5</v>
      </c>
      <c r="K275">
        <v>7</v>
      </c>
      <c r="L275">
        <v>0</v>
      </c>
      <c r="M275" t="s">
        <v>1304</v>
      </c>
      <c r="N275">
        <v>97640</v>
      </c>
      <c r="O275">
        <v>11203</v>
      </c>
      <c r="P275" t="s">
        <v>1309</v>
      </c>
      <c r="Q275" t="s">
        <v>1319</v>
      </c>
      <c r="R275" t="s">
        <v>1317</v>
      </c>
      <c r="S275" t="s">
        <v>1334</v>
      </c>
      <c r="T275" t="s">
        <v>1335</v>
      </c>
      <c r="W275" t="s">
        <v>1381</v>
      </c>
      <c r="Y275" t="s">
        <v>1366</v>
      </c>
      <c r="AA275">
        <v>0</v>
      </c>
      <c r="AB275">
        <v>0</v>
      </c>
      <c r="AD275">
        <v>0</v>
      </c>
      <c r="AE275">
        <v>0</v>
      </c>
      <c r="AF275">
        <v>0</v>
      </c>
      <c r="AG275">
        <v>0</v>
      </c>
    </row>
    <row r="276" spans="1:33">
      <c r="A276" s="1">
        <f>HYPERLINK("https://lsnyc.legalserver.org/matter/dynamic-profile/view/0816336","16-0816336")</f>
        <v>0</v>
      </c>
      <c r="B276" t="s">
        <v>36</v>
      </c>
      <c r="C276" t="s">
        <v>46</v>
      </c>
      <c r="D276" t="s">
        <v>312</v>
      </c>
      <c r="E276" t="s">
        <v>844</v>
      </c>
      <c r="F276">
        <v>2094</v>
      </c>
      <c r="G276" t="s">
        <v>1225</v>
      </c>
      <c r="I276" t="s">
        <v>1298</v>
      </c>
      <c r="J276">
        <v>1</v>
      </c>
      <c r="K276">
        <v>0</v>
      </c>
      <c r="L276">
        <v>1</v>
      </c>
      <c r="M276" t="s">
        <v>1302</v>
      </c>
      <c r="N276">
        <v>46584</v>
      </c>
      <c r="O276">
        <v>10455</v>
      </c>
      <c r="P276" t="s">
        <v>1310</v>
      </c>
      <c r="Q276" t="s">
        <v>1316</v>
      </c>
      <c r="S276" t="s">
        <v>1332</v>
      </c>
      <c r="T276" t="s">
        <v>1338</v>
      </c>
      <c r="U276" t="s">
        <v>1352</v>
      </c>
      <c r="W276" t="s">
        <v>1363</v>
      </c>
      <c r="Y276" t="s">
        <v>1361</v>
      </c>
      <c r="AA276">
        <v>1426.79</v>
      </c>
      <c r="AB276">
        <v>0</v>
      </c>
      <c r="AD276">
        <v>63355.09</v>
      </c>
      <c r="AE276">
        <v>0</v>
      </c>
      <c r="AF276">
        <v>0</v>
      </c>
      <c r="AG276">
        <v>0</v>
      </c>
    </row>
    <row r="277" spans="1:33">
      <c r="A277" s="1">
        <f>HYPERLINK("https://lsnyc.legalserver.org/matter/dynamic-profile/view/0830812","17-0830812")</f>
        <v>0</v>
      </c>
      <c r="B277" t="s">
        <v>34</v>
      </c>
      <c r="C277" t="s">
        <v>68</v>
      </c>
      <c r="D277" t="s">
        <v>313</v>
      </c>
      <c r="E277" t="s">
        <v>845</v>
      </c>
      <c r="F277">
        <v>2093</v>
      </c>
      <c r="G277" t="s">
        <v>1244</v>
      </c>
      <c r="I277" t="s">
        <v>1298</v>
      </c>
      <c r="J277">
        <v>2</v>
      </c>
      <c r="K277">
        <v>0</v>
      </c>
      <c r="L277">
        <v>0</v>
      </c>
      <c r="M277" t="s">
        <v>1304</v>
      </c>
      <c r="N277">
        <v>26400</v>
      </c>
      <c r="O277">
        <v>11413</v>
      </c>
      <c r="P277" t="s">
        <v>1308</v>
      </c>
      <c r="Q277" t="s">
        <v>1324</v>
      </c>
      <c r="S277" t="s">
        <v>1338</v>
      </c>
      <c r="T277" t="s">
        <v>1332</v>
      </c>
      <c r="AA277">
        <v>0</v>
      </c>
      <c r="AB277">
        <v>0</v>
      </c>
      <c r="AD277">
        <v>0</v>
      </c>
      <c r="AE277">
        <v>0</v>
      </c>
      <c r="AF277">
        <v>0</v>
      </c>
      <c r="AG277">
        <v>0</v>
      </c>
    </row>
    <row r="278" spans="1:33">
      <c r="A278" s="1">
        <f>HYPERLINK("https://lsnyc.legalserver.org/matter/dynamic-profile/view/0831014","17-0831014")</f>
        <v>0</v>
      </c>
      <c r="B278" t="s">
        <v>34</v>
      </c>
      <c r="C278" t="s">
        <v>65</v>
      </c>
      <c r="D278" t="s">
        <v>314</v>
      </c>
      <c r="E278" t="s">
        <v>619</v>
      </c>
      <c r="F278">
        <v>2093</v>
      </c>
      <c r="G278" t="s">
        <v>1221</v>
      </c>
      <c r="I278" t="s">
        <v>1298</v>
      </c>
      <c r="J278">
        <v>2</v>
      </c>
      <c r="K278">
        <v>1</v>
      </c>
      <c r="L278">
        <v>1</v>
      </c>
      <c r="M278" t="s">
        <v>1301</v>
      </c>
      <c r="N278">
        <v>37200</v>
      </c>
      <c r="O278">
        <v>11433</v>
      </c>
      <c r="P278" t="s">
        <v>1308</v>
      </c>
      <c r="Q278" t="s">
        <v>1324</v>
      </c>
      <c r="S278" t="s">
        <v>1338</v>
      </c>
      <c r="AA278">
        <v>0</v>
      </c>
      <c r="AB278">
        <v>0</v>
      </c>
      <c r="AD278">
        <v>0</v>
      </c>
      <c r="AE278">
        <v>0</v>
      </c>
      <c r="AF278">
        <v>0</v>
      </c>
      <c r="AG278">
        <v>0</v>
      </c>
    </row>
    <row r="279" spans="1:33">
      <c r="A279" s="1">
        <f>HYPERLINK("https://lsnyc.legalserver.org/matter/dynamic-profile/view/0831688","17-0831688")</f>
        <v>0</v>
      </c>
      <c r="B279" t="s">
        <v>35</v>
      </c>
      <c r="C279" t="s">
        <v>61</v>
      </c>
      <c r="D279" t="s">
        <v>206</v>
      </c>
      <c r="E279" t="s">
        <v>846</v>
      </c>
      <c r="F279">
        <v>2091</v>
      </c>
      <c r="G279" t="s">
        <v>1255</v>
      </c>
      <c r="I279" t="s">
        <v>1298</v>
      </c>
      <c r="J279">
        <v>4</v>
      </c>
      <c r="K279">
        <v>3</v>
      </c>
      <c r="L279">
        <v>0</v>
      </c>
      <c r="N279">
        <v>71916</v>
      </c>
      <c r="O279">
        <v>11230</v>
      </c>
      <c r="P279" t="s">
        <v>1309</v>
      </c>
      <c r="Q279" t="s">
        <v>1314</v>
      </c>
      <c r="S279" t="s">
        <v>1333</v>
      </c>
      <c r="T279" t="s">
        <v>1340</v>
      </c>
      <c r="U279" t="s">
        <v>1359</v>
      </c>
      <c r="AA279">
        <v>0</v>
      </c>
      <c r="AB279">
        <v>0</v>
      </c>
      <c r="AD279">
        <v>0</v>
      </c>
      <c r="AE279">
        <v>0</v>
      </c>
      <c r="AF279">
        <v>0</v>
      </c>
      <c r="AG279">
        <v>0</v>
      </c>
    </row>
    <row r="280" spans="1:33">
      <c r="A280" s="1">
        <f>HYPERLINK("https://lsnyc.legalserver.org/matter/dynamic-profile/view/1837777","17-1837777")</f>
        <v>0</v>
      </c>
      <c r="B280" t="s">
        <v>34</v>
      </c>
      <c r="C280" t="s">
        <v>49</v>
      </c>
      <c r="D280" t="s">
        <v>129</v>
      </c>
      <c r="E280" t="s">
        <v>660</v>
      </c>
      <c r="F280">
        <v>2093</v>
      </c>
      <c r="G280" t="s">
        <v>1181</v>
      </c>
      <c r="I280" t="s">
        <v>1298</v>
      </c>
      <c r="J280">
        <v>3</v>
      </c>
      <c r="K280">
        <v>0</v>
      </c>
      <c r="L280">
        <v>0</v>
      </c>
      <c r="M280" t="s">
        <v>1301</v>
      </c>
      <c r="N280">
        <v>24000</v>
      </c>
      <c r="O280">
        <v>11436</v>
      </c>
      <c r="P280" t="s">
        <v>1308</v>
      </c>
      <c r="Q280" t="s">
        <v>1315</v>
      </c>
      <c r="S280" t="s">
        <v>1333</v>
      </c>
      <c r="T280" t="s">
        <v>1332</v>
      </c>
      <c r="U280" t="s">
        <v>1354</v>
      </c>
      <c r="Y280" t="s">
        <v>1361</v>
      </c>
      <c r="AA280">
        <v>0</v>
      </c>
      <c r="AB280">
        <v>0</v>
      </c>
      <c r="AD280">
        <v>0</v>
      </c>
      <c r="AE280">
        <v>0</v>
      </c>
      <c r="AF280">
        <v>0</v>
      </c>
      <c r="AG280">
        <v>0</v>
      </c>
    </row>
    <row r="281" spans="1:33">
      <c r="A281" s="1">
        <f>HYPERLINK("https://lsnyc.legalserver.org/matter/dynamic-profile/view/1842869","17-1842869")</f>
        <v>0</v>
      </c>
      <c r="B281" t="s">
        <v>33</v>
      </c>
      <c r="C281" t="s">
        <v>38</v>
      </c>
      <c r="D281" t="s">
        <v>100</v>
      </c>
      <c r="E281" t="s">
        <v>847</v>
      </c>
      <c r="F281">
        <v>2090</v>
      </c>
      <c r="G281" t="s">
        <v>1181</v>
      </c>
      <c r="I281" t="s">
        <v>1298</v>
      </c>
      <c r="J281">
        <v>3</v>
      </c>
      <c r="K281">
        <v>2</v>
      </c>
      <c r="L281">
        <v>1</v>
      </c>
      <c r="M281" t="s">
        <v>1301</v>
      </c>
      <c r="N281">
        <v>34284</v>
      </c>
      <c r="O281">
        <v>10303</v>
      </c>
      <c r="P281" t="s">
        <v>1307</v>
      </c>
      <c r="Q281" t="s">
        <v>1314</v>
      </c>
      <c r="R281" t="s">
        <v>1315</v>
      </c>
      <c r="S281" t="s">
        <v>1340</v>
      </c>
      <c r="T281" t="s">
        <v>1334</v>
      </c>
      <c r="U281" t="s">
        <v>1354</v>
      </c>
      <c r="W281" t="s">
        <v>1366</v>
      </c>
      <c r="AA281">
        <v>0</v>
      </c>
      <c r="AB281">
        <v>0</v>
      </c>
      <c r="AD281">
        <v>0</v>
      </c>
      <c r="AE281">
        <v>0</v>
      </c>
      <c r="AF281">
        <v>0</v>
      </c>
      <c r="AG281">
        <v>0</v>
      </c>
    </row>
    <row r="282" spans="1:33">
      <c r="A282" s="1">
        <f>HYPERLINK("https://lsnyc.legalserver.org/matter/dynamic-profile/view/1844400","17-1844400")</f>
        <v>0</v>
      </c>
      <c r="B282" t="s">
        <v>35</v>
      </c>
      <c r="C282" t="s">
        <v>67</v>
      </c>
      <c r="D282" t="s">
        <v>315</v>
      </c>
      <c r="E282" t="s">
        <v>848</v>
      </c>
      <c r="F282">
        <v>2091</v>
      </c>
      <c r="G282" t="s">
        <v>1248</v>
      </c>
      <c r="I282" t="s">
        <v>1298</v>
      </c>
      <c r="J282">
        <v>3</v>
      </c>
      <c r="K282">
        <v>1</v>
      </c>
      <c r="L282">
        <v>0</v>
      </c>
      <c r="M282" t="s">
        <v>1302</v>
      </c>
      <c r="N282">
        <v>30000</v>
      </c>
      <c r="O282">
        <v>11236</v>
      </c>
      <c r="P282" t="s">
        <v>1309</v>
      </c>
      <c r="Q282" t="s">
        <v>1317</v>
      </c>
      <c r="S282" t="s">
        <v>1338</v>
      </c>
      <c r="AA282">
        <v>0</v>
      </c>
      <c r="AB282">
        <v>0</v>
      </c>
      <c r="AD282">
        <v>0</v>
      </c>
      <c r="AE282">
        <v>0</v>
      </c>
      <c r="AF282">
        <v>0</v>
      </c>
      <c r="AG282">
        <v>0</v>
      </c>
    </row>
    <row r="283" spans="1:33">
      <c r="A283" s="1">
        <f>HYPERLINK("https://lsnyc.legalserver.org/matter/dynamic-profile/view/1849288","17-1849288")</f>
        <v>0</v>
      </c>
      <c r="B283" t="s">
        <v>35</v>
      </c>
      <c r="C283" t="s">
        <v>61</v>
      </c>
      <c r="D283" t="s">
        <v>316</v>
      </c>
      <c r="E283" t="s">
        <v>849</v>
      </c>
      <c r="F283">
        <v>2091</v>
      </c>
      <c r="G283" t="s">
        <v>1178</v>
      </c>
      <c r="I283" t="s">
        <v>1298</v>
      </c>
      <c r="J283">
        <v>3</v>
      </c>
      <c r="K283">
        <v>0</v>
      </c>
      <c r="L283">
        <v>0</v>
      </c>
      <c r="M283" t="s">
        <v>1301</v>
      </c>
      <c r="N283">
        <v>62400</v>
      </c>
      <c r="O283">
        <v>11236</v>
      </c>
      <c r="P283" t="s">
        <v>1309</v>
      </c>
      <c r="Q283" t="s">
        <v>1315</v>
      </c>
      <c r="S283" t="s">
        <v>1333</v>
      </c>
      <c r="T283" t="s">
        <v>1340</v>
      </c>
      <c r="U283" t="s">
        <v>1353</v>
      </c>
      <c r="W283" t="s">
        <v>1361</v>
      </c>
      <c r="Y283" t="s">
        <v>1366</v>
      </c>
      <c r="AA283">
        <v>0</v>
      </c>
      <c r="AB283">
        <v>0</v>
      </c>
      <c r="AD283">
        <v>0</v>
      </c>
      <c r="AE283">
        <v>0</v>
      </c>
      <c r="AF283">
        <v>0</v>
      </c>
      <c r="AG283">
        <v>0</v>
      </c>
    </row>
    <row r="284" spans="1:33">
      <c r="A284" s="1">
        <f>HYPERLINK("https://lsnyc.legalserver.org/matter/dynamic-profile/view/1849793","17-1849793")</f>
        <v>0</v>
      </c>
      <c r="B284" t="s">
        <v>34</v>
      </c>
      <c r="C284" t="s">
        <v>49</v>
      </c>
      <c r="D284" t="s">
        <v>317</v>
      </c>
      <c r="E284" t="s">
        <v>850</v>
      </c>
      <c r="F284">
        <v>2093</v>
      </c>
      <c r="G284" t="s">
        <v>1256</v>
      </c>
      <c r="I284" t="s">
        <v>1298</v>
      </c>
      <c r="J284">
        <v>1</v>
      </c>
      <c r="K284">
        <v>0</v>
      </c>
      <c r="L284">
        <v>0</v>
      </c>
      <c r="M284" t="s">
        <v>1301</v>
      </c>
      <c r="N284">
        <v>24000</v>
      </c>
      <c r="O284">
        <v>11413</v>
      </c>
      <c r="P284" t="s">
        <v>1308</v>
      </c>
      <c r="Q284" t="s">
        <v>1319</v>
      </c>
      <c r="S284" t="s">
        <v>1336</v>
      </c>
      <c r="W284" t="s">
        <v>1361</v>
      </c>
      <c r="AA284">
        <v>0</v>
      </c>
      <c r="AB284">
        <v>0</v>
      </c>
      <c r="AD284">
        <v>0</v>
      </c>
      <c r="AE284">
        <v>0</v>
      </c>
      <c r="AF284">
        <v>0</v>
      </c>
      <c r="AG284">
        <v>0</v>
      </c>
    </row>
    <row r="285" spans="1:33">
      <c r="A285" s="1">
        <f>HYPERLINK("https://lsnyc.legalserver.org/matter/dynamic-profile/view/1850018","17-1850018")</f>
        <v>0</v>
      </c>
      <c r="B285" t="s">
        <v>33</v>
      </c>
      <c r="C285" t="s">
        <v>63</v>
      </c>
      <c r="D285" t="s">
        <v>318</v>
      </c>
      <c r="E285" t="s">
        <v>851</v>
      </c>
      <c r="F285">
        <v>2090</v>
      </c>
      <c r="G285" t="s">
        <v>1224</v>
      </c>
      <c r="I285" t="s">
        <v>1298</v>
      </c>
      <c r="J285">
        <v>2</v>
      </c>
      <c r="K285">
        <v>0</v>
      </c>
      <c r="L285">
        <v>0</v>
      </c>
      <c r="M285" t="s">
        <v>1301</v>
      </c>
      <c r="N285">
        <v>48984</v>
      </c>
      <c r="O285">
        <v>10303</v>
      </c>
      <c r="P285" t="s">
        <v>1307</v>
      </c>
      <c r="Q285" t="s">
        <v>1320</v>
      </c>
      <c r="S285" t="s">
        <v>1334</v>
      </c>
      <c r="T285" t="s">
        <v>1336</v>
      </c>
      <c r="W285" t="s">
        <v>1369</v>
      </c>
      <c r="Y285" t="s">
        <v>1376</v>
      </c>
      <c r="AA285">
        <v>0</v>
      </c>
      <c r="AB285">
        <v>0</v>
      </c>
      <c r="AC285" t="s">
        <v>1399</v>
      </c>
      <c r="AD285">
        <v>0</v>
      </c>
      <c r="AE285">
        <v>0</v>
      </c>
      <c r="AF285">
        <v>0</v>
      </c>
      <c r="AG285">
        <v>0</v>
      </c>
    </row>
    <row r="286" spans="1:33">
      <c r="A286" s="1">
        <f>HYPERLINK("https://lsnyc.legalserver.org/matter/dynamic-profile/view/1851709","17-1851709")</f>
        <v>0</v>
      </c>
      <c r="B286" t="s">
        <v>35</v>
      </c>
      <c r="C286" t="s">
        <v>51</v>
      </c>
      <c r="D286" t="s">
        <v>319</v>
      </c>
      <c r="E286" t="s">
        <v>852</v>
      </c>
      <c r="F286">
        <v>2091</v>
      </c>
      <c r="G286" t="s">
        <v>1179</v>
      </c>
      <c r="I286" t="s">
        <v>1298</v>
      </c>
      <c r="J286">
        <v>2</v>
      </c>
      <c r="K286">
        <v>0</v>
      </c>
      <c r="L286">
        <v>1</v>
      </c>
      <c r="M286" t="s">
        <v>1302</v>
      </c>
      <c r="N286">
        <v>100800</v>
      </c>
      <c r="O286">
        <v>11236</v>
      </c>
      <c r="P286" t="s">
        <v>1309</v>
      </c>
      <c r="Q286" t="s">
        <v>1315</v>
      </c>
      <c r="R286" t="s">
        <v>1321</v>
      </c>
      <c r="S286" t="s">
        <v>1333</v>
      </c>
      <c r="T286" t="s">
        <v>1332</v>
      </c>
      <c r="U286" t="s">
        <v>1353</v>
      </c>
      <c r="W286" t="s">
        <v>1361</v>
      </c>
      <c r="Y286" t="s">
        <v>1365</v>
      </c>
      <c r="AA286">
        <v>0</v>
      </c>
      <c r="AB286">
        <v>0</v>
      </c>
      <c r="AD286">
        <v>0</v>
      </c>
      <c r="AE286">
        <v>0</v>
      </c>
      <c r="AF286">
        <v>0</v>
      </c>
      <c r="AG286">
        <v>0</v>
      </c>
    </row>
    <row r="287" spans="1:33">
      <c r="A287" s="1">
        <f>HYPERLINK("https://lsnyc.legalserver.org/matter/dynamic-profile/view/1854242","17-1854242")</f>
        <v>0</v>
      </c>
      <c r="B287" t="s">
        <v>34</v>
      </c>
      <c r="C287" t="s">
        <v>68</v>
      </c>
      <c r="D287" t="s">
        <v>320</v>
      </c>
      <c r="E287" t="s">
        <v>126</v>
      </c>
      <c r="F287">
        <v>2093</v>
      </c>
      <c r="G287" t="s">
        <v>1199</v>
      </c>
      <c r="I287" t="s">
        <v>1298</v>
      </c>
      <c r="J287">
        <v>1</v>
      </c>
      <c r="K287">
        <v>0</v>
      </c>
      <c r="L287">
        <v>0</v>
      </c>
      <c r="M287" t="s">
        <v>1301</v>
      </c>
      <c r="N287">
        <v>120000</v>
      </c>
      <c r="O287">
        <v>11411</v>
      </c>
      <c r="P287" t="s">
        <v>1308</v>
      </c>
      <c r="Q287" t="s">
        <v>1320</v>
      </c>
      <c r="R287" t="s">
        <v>1314</v>
      </c>
      <c r="S287" t="s">
        <v>1332</v>
      </c>
      <c r="T287" t="s">
        <v>1340</v>
      </c>
      <c r="U287" t="s">
        <v>1354</v>
      </c>
      <c r="W287" t="s">
        <v>1361</v>
      </c>
      <c r="Y287" t="s">
        <v>1366</v>
      </c>
      <c r="AA287">
        <v>0</v>
      </c>
      <c r="AB287">
        <v>0</v>
      </c>
      <c r="AD287">
        <v>0</v>
      </c>
      <c r="AE287">
        <v>0</v>
      </c>
      <c r="AF287">
        <v>0</v>
      </c>
      <c r="AG287">
        <v>0</v>
      </c>
    </row>
    <row r="288" spans="1:33">
      <c r="A288" s="1">
        <f>HYPERLINK("https://lsnyc.legalserver.org/matter/dynamic-profile/view/1854564","17-1854564")</f>
        <v>0</v>
      </c>
      <c r="B288" t="s">
        <v>35</v>
      </c>
      <c r="C288" t="s">
        <v>61</v>
      </c>
      <c r="D288" t="s">
        <v>321</v>
      </c>
      <c r="E288" t="s">
        <v>853</v>
      </c>
      <c r="F288">
        <v>2091</v>
      </c>
      <c r="G288" t="s">
        <v>1190</v>
      </c>
      <c r="I288" t="s">
        <v>1298</v>
      </c>
      <c r="J288">
        <v>1</v>
      </c>
      <c r="K288">
        <v>2</v>
      </c>
      <c r="L288">
        <v>0</v>
      </c>
      <c r="M288" t="s">
        <v>1304</v>
      </c>
      <c r="N288">
        <v>54156</v>
      </c>
      <c r="O288">
        <v>11233</v>
      </c>
      <c r="P288" t="s">
        <v>1309</v>
      </c>
      <c r="Q288" t="s">
        <v>1325</v>
      </c>
      <c r="S288" t="s">
        <v>1332</v>
      </c>
      <c r="T288" t="s">
        <v>1333</v>
      </c>
      <c r="W288" t="s">
        <v>1361</v>
      </c>
      <c r="AA288">
        <v>0</v>
      </c>
      <c r="AB288">
        <v>0</v>
      </c>
      <c r="AD288">
        <v>0</v>
      </c>
      <c r="AE288">
        <v>0</v>
      </c>
      <c r="AF288">
        <v>0</v>
      </c>
      <c r="AG288">
        <v>0</v>
      </c>
    </row>
    <row r="289" spans="1:33">
      <c r="A289" s="1">
        <f>HYPERLINK("https://lsnyc.legalserver.org/matter/dynamic-profile/view/1855808","18-1855808")</f>
        <v>0</v>
      </c>
      <c r="B289" t="s">
        <v>35</v>
      </c>
      <c r="C289" t="s">
        <v>67</v>
      </c>
      <c r="D289" t="s">
        <v>322</v>
      </c>
      <c r="E289" t="s">
        <v>756</v>
      </c>
      <c r="F289">
        <v>2091</v>
      </c>
      <c r="G289" t="s">
        <v>1257</v>
      </c>
      <c r="I289" t="s">
        <v>1298</v>
      </c>
      <c r="J289">
        <v>2</v>
      </c>
      <c r="K289">
        <v>2</v>
      </c>
      <c r="L289">
        <v>0</v>
      </c>
      <c r="N289">
        <v>26000</v>
      </c>
      <c r="O289">
        <v>11236</v>
      </c>
      <c r="P289" t="s">
        <v>1309</v>
      </c>
      <c r="Q289" t="s">
        <v>1324</v>
      </c>
      <c r="S289" t="s">
        <v>1343</v>
      </c>
      <c r="AA289">
        <v>0</v>
      </c>
      <c r="AB289">
        <v>0</v>
      </c>
      <c r="AD289">
        <v>0</v>
      </c>
      <c r="AE289">
        <v>0</v>
      </c>
      <c r="AF289">
        <v>0</v>
      </c>
      <c r="AG289">
        <v>0</v>
      </c>
    </row>
    <row r="290" spans="1:33">
      <c r="A290" s="1">
        <f>HYPERLINK("https://lsnyc.legalserver.org/matter/dynamic-profile/view/1857961","18-1857961")</f>
        <v>0</v>
      </c>
      <c r="B290" t="s">
        <v>34</v>
      </c>
      <c r="C290" t="s">
        <v>42</v>
      </c>
      <c r="D290" t="s">
        <v>231</v>
      </c>
      <c r="E290" t="s">
        <v>854</v>
      </c>
      <c r="F290">
        <v>2093</v>
      </c>
      <c r="G290" t="s">
        <v>1258</v>
      </c>
      <c r="I290" t="s">
        <v>1298</v>
      </c>
      <c r="J290">
        <v>3</v>
      </c>
      <c r="K290">
        <v>1</v>
      </c>
      <c r="L290">
        <v>1</v>
      </c>
      <c r="M290" t="s">
        <v>1301</v>
      </c>
      <c r="N290">
        <v>73000</v>
      </c>
      <c r="O290">
        <v>11436</v>
      </c>
      <c r="P290" t="s">
        <v>1308</v>
      </c>
      <c r="Q290" t="s">
        <v>1331</v>
      </c>
      <c r="S290" t="s">
        <v>1333</v>
      </c>
      <c r="U290" t="s">
        <v>1355</v>
      </c>
      <c r="AA290">
        <v>0</v>
      </c>
      <c r="AB290">
        <v>0</v>
      </c>
      <c r="AD290">
        <v>0</v>
      </c>
      <c r="AE290">
        <v>0</v>
      </c>
      <c r="AF290">
        <v>0</v>
      </c>
      <c r="AG290">
        <v>0</v>
      </c>
    </row>
    <row r="291" spans="1:33">
      <c r="A291" s="1">
        <f>HYPERLINK("https://lsnyc.legalserver.org/matter/dynamic-profile/view/1858862","18-1858862")</f>
        <v>0</v>
      </c>
      <c r="B291" t="s">
        <v>35</v>
      </c>
      <c r="C291" t="s">
        <v>61</v>
      </c>
      <c r="D291" t="s">
        <v>323</v>
      </c>
      <c r="E291" t="s">
        <v>855</v>
      </c>
      <c r="F291">
        <v>2091</v>
      </c>
      <c r="G291" t="s">
        <v>1191</v>
      </c>
      <c r="I291" t="s">
        <v>1298</v>
      </c>
      <c r="J291">
        <v>3</v>
      </c>
      <c r="K291">
        <v>0</v>
      </c>
      <c r="L291">
        <v>0</v>
      </c>
      <c r="M291" t="s">
        <v>1301</v>
      </c>
      <c r="N291">
        <v>54000</v>
      </c>
      <c r="O291">
        <v>11234</v>
      </c>
      <c r="P291" t="s">
        <v>1309</v>
      </c>
      <c r="Q291" t="s">
        <v>1315</v>
      </c>
      <c r="S291" t="s">
        <v>1332</v>
      </c>
      <c r="T291" t="s">
        <v>1340</v>
      </c>
      <c r="W291" t="s">
        <v>1361</v>
      </c>
      <c r="AA291">
        <v>0</v>
      </c>
      <c r="AB291">
        <v>0</v>
      </c>
      <c r="AD291">
        <v>0</v>
      </c>
      <c r="AE291">
        <v>0</v>
      </c>
      <c r="AF291">
        <v>0</v>
      </c>
      <c r="AG291">
        <v>0</v>
      </c>
    </row>
    <row r="292" spans="1:33">
      <c r="A292" s="1">
        <f>HYPERLINK("https://lsnyc.legalserver.org/matter/dynamic-profile/view/1859377","18-1859377")</f>
        <v>0</v>
      </c>
      <c r="B292" t="s">
        <v>35</v>
      </c>
      <c r="C292" t="s">
        <v>55</v>
      </c>
      <c r="D292" t="s">
        <v>324</v>
      </c>
      <c r="E292" t="s">
        <v>856</v>
      </c>
      <c r="F292">
        <v>2091</v>
      </c>
      <c r="G292" t="s">
        <v>1259</v>
      </c>
      <c r="I292" t="s">
        <v>1298</v>
      </c>
      <c r="J292">
        <v>1</v>
      </c>
      <c r="K292">
        <v>1</v>
      </c>
      <c r="L292">
        <v>0</v>
      </c>
      <c r="M292" t="s">
        <v>1302</v>
      </c>
      <c r="N292">
        <v>77549.75999999999</v>
      </c>
      <c r="O292">
        <v>11238</v>
      </c>
      <c r="P292" t="s">
        <v>1309</v>
      </c>
      <c r="Q292" t="s">
        <v>1315</v>
      </c>
      <c r="R292" t="s">
        <v>1317</v>
      </c>
      <c r="S292" t="s">
        <v>1338</v>
      </c>
      <c r="AA292">
        <v>0</v>
      </c>
      <c r="AB292">
        <v>0</v>
      </c>
      <c r="AD292">
        <v>0</v>
      </c>
      <c r="AE292">
        <v>0</v>
      </c>
      <c r="AF292">
        <v>0</v>
      </c>
      <c r="AG292">
        <v>0</v>
      </c>
    </row>
    <row r="293" spans="1:33">
      <c r="A293" s="1">
        <f>HYPERLINK("https://lsnyc.legalserver.org/matter/dynamic-profile/view/1859725","18-1859725")</f>
        <v>0</v>
      </c>
      <c r="B293" t="s">
        <v>35</v>
      </c>
      <c r="C293" t="s">
        <v>40</v>
      </c>
      <c r="D293" t="s">
        <v>325</v>
      </c>
      <c r="E293" t="s">
        <v>857</v>
      </c>
      <c r="F293">
        <v>2091</v>
      </c>
      <c r="G293" t="s">
        <v>1186</v>
      </c>
      <c r="I293" t="s">
        <v>1298</v>
      </c>
      <c r="J293">
        <v>2</v>
      </c>
      <c r="K293">
        <v>0</v>
      </c>
      <c r="L293">
        <v>0</v>
      </c>
      <c r="M293" t="s">
        <v>1302</v>
      </c>
      <c r="N293">
        <v>139000</v>
      </c>
      <c r="O293">
        <v>11233</v>
      </c>
      <c r="P293" t="s">
        <v>1309</v>
      </c>
      <c r="Q293" t="s">
        <v>1315</v>
      </c>
      <c r="S293" t="s">
        <v>1333</v>
      </c>
      <c r="T293" t="s">
        <v>1336</v>
      </c>
      <c r="U293" t="s">
        <v>1353</v>
      </c>
      <c r="W293" t="s">
        <v>1361</v>
      </c>
      <c r="Y293" t="s">
        <v>1365</v>
      </c>
      <c r="AA293">
        <v>0</v>
      </c>
      <c r="AB293">
        <v>0</v>
      </c>
      <c r="AD293">
        <v>0</v>
      </c>
      <c r="AE293">
        <v>0</v>
      </c>
      <c r="AF293">
        <v>0</v>
      </c>
      <c r="AG293">
        <v>0</v>
      </c>
    </row>
    <row r="294" spans="1:33">
      <c r="A294" s="1">
        <f>HYPERLINK("https://lsnyc.legalserver.org/matter/dynamic-profile/view/1859550","18-1859550")</f>
        <v>0</v>
      </c>
      <c r="B294" t="s">
        <v>33</v>
      </c>
      <c r="C294" t="s">
        <v>38</v>
      </c>
      <c r="D294" t="s">
        <v>326</v>
      </c>
      <c r="E294" t="s">
        <v>631</v>
      </c>
      <c r="F294">
        <v>2090</v>
      </c>
      <c r="G294" t="s">
        <v>1226</v>
      </c>
      <c r="I294" t="s">
        <v>1298</v>
      </c>
      <c r="J294">
        <v>3</v>
      </c>
      <c r="K294">
        <v>3</v>
      </c>
      <c r="L294">
        <v>0</v>
      </c>
      <c r="N294">
        <v>75000</v>
      </c>
      <c r="O294">
        <v>10302</v>
      </c>
      <c r="P294" t="s">
        <v>1307</v>
      </c>
      <c r="Q294" t="s">
        <v>1318</v>
      </c>
      <c r="S294" t="s">
        <v>1337</v>
      </c>
      <c r="W294" t="s">
        <v>1366</v>
      </c>
      <c r="AA294">
        <v>0</v>
      </c>
      <c r="AB294">
        <v>0</v>
      </c>
      <c r="AD294">
        <v>0</v>
      </c>
      <c r="AE294">
        <v>0</v>
      </c>
      <c r="AF294">
        <v>0</v>
      </c>
      <c r="AG294">
        <v>0</v>
      </c>
    </row>
    <row r="295" spans="1:33">
      <c r="A295" s="1">
        <f>HYPERLINK("https://lsnyc.legalserver.org/matter/dynamic-profile/view/1862039","18-1862039")</f>
        <v>0</v>
      </c>
      <c r="B295" t="s">
        <v>34</v>
      </c>
      <c r="C295" t="s">
        <v>49</v>
      </c>
      <c r="D295" t="s">
        <v>327</v>
      </c>
      <c r="E295" t="s">
        <v>190</v>
      </c>
      <c r="F295">
        <v>2093</v>
      </c>
      <c r="G295" t="s">
        <v>1260</v>
      </c>
      <c r="I295" t="s">
        <v>1298</v>
      </c>
      <c r="J295">
        <v>2</v>
      </c>
      <c r="K295">
        <v>1</v>
      </c>
      <c r="L295">
        <v>0</v>
      </c>
      <c r="N295">
        <v>39000</v>
      </c>
      <c r="O295">
        <v>11433</v>
      </c>
      <c r="P295" t="s">
        <v>1308</v>
      </c>
      <c r="Q295" t="s">
        <v>1315</v>
      </c>
      <c r="S295" t="s">
        <v>1333</v>
      </c>
      <c r="T295" t="s">
        <v>1332</v>
      </c>
      <c r="Y295" t="s">
        <v>1361</v>
      </c>
      <c r="AA295">
        <v>0</v>
      </c>
      <c r="AB295">
        <v>0</v>
      </c>
      <c r="AD295">
        <v>0</v>
      </c>
      <c r="AE295">
        <v>0</v>
      </c>
      <c r="AF295">
        <v>0</v>
      </c>
      <c r="AG295">
        <v>0</v>
      </c>
    </row>
    <row r="296" spans="1:33">
      <c r="A296" s="1">
        <f>HYPERLINK("https://lsnyc.legalserver.org/matter/dynamic-profile/view/1863842","18-1863842")</f>
        <v>0</v>
      </c>
      <c r="B296" t="s">
        <v>34</v>
      </c>
      <c r="C296" t="s">
        <v>49</v>
      </c>
      <c r="D296" t="s">
        <v>328</v>
      </c>
      <c r="E296" t="s">
        <v>858</v>
      </c>
      <c r="F296">
        <v>2093</v>
      </c>
      <c r="G296" t="s">
        <v>1179</v>
      </c>
      <c r="I296" t="s">
        <v>1298</v>
      </c>
      <c r="J296">
        <v>4</v>
      </c>
      <c r="K296">
        <v>0</v>
      </c>
      <c r="L296">
        <v>0</v>
      </c>
      <c r="M296" t="s">
        <v>1302</v>
      </c>
      <c r="N296">
        <v>91500</v>
      </c>
      <c r="O296">
        <v>11419</v>
      </c>
      <c r="P296" t="s">
        <v>1308</v>
      </c>
      <c r="Q296" t="s">
        <v>1315</v>
      </c>
      <c r="R296" t="s">
        <v>1314</v>
      </c>
      <c r="S296" t="s">
        <v>1333</v>
      </c>
      <c r="T296" t="s">
        <v>1340</v>
      </c>
      <c r="U296" t="s">
        <v>1352</v>
      </c>
      <c r="W296" t="s">
        <v>1360</v>
      </c>
      <c r="AA296">
        <v>2523.52</v>
      </c>
      <c r="AB296">
        <v>0</v>
      </c>
      <c r="AD296">
        <v>0</v>
      </c>
      <c r="AE296">
        <v>0</v>
      </c>
      <c r="AF296">
        <v>0</v>
      </c>
      <c r="AG296">
        <v>0</v>
      </c>
    </row>
    <row r="297" spans="1:33">
      <c r="A297" s="1">
        <f>HYPERLINK("https://lsnyc.legalserver.org/matter/dynamic-profile/view/1864809","18-1864809")</f>
        <v>0</v>
      </c>
      <c r="B297" t="s">
        <v>33</v>
      </c>
      <c r="C297" t="s">
        <v>63</v>
      </c>
      <c r="D297" t="s">
        <v>124</v>
      </c>
      <c r="E297" t="s">
        <v>653</v>
      </c>
      <c r="F297">
        <v>2090</v>
      </c>
      <c r="G297" t="s">
        <v>1257</v>
      </c>
      <c r="I297" t="s">
        <v>1298</v>
      </c>
      <c r="J297">
        <v>1</v>
      </c>
      <c r="K297">
        <v>0</v>
      </c>
      <c r="L297">
        <v>0</v>
      </c>
      <c r="M297" t="s">
        <v>1303</v>
      </c>
      <c r="N297">
        <v>52000</v>
      </c>
      <c r="O297">
        <v>10304</v>
      </c>
      <c r="P297" t="s">
        <v>1307</v>
      </c>
      <c r="Q297" t="s">
        <v>1315</v>
      </c>
      <c r="S297" t="s">
        <v>1338</v>
      </c>
      <c r="T297" t="s">
        <v>1336</v>
      </c>
      <c r="W297" t="s">
        <v>1366</v>
      </c>
      <c r="AA297">
        <v>0</v>
      </c>
      <c r="AB297">
        <v>0</v>
      </c>
      <c r="AD297">
        <v>0</v>
      </c>
      <c r="AE297">
        <v>0</v>
      </c>
      <c r="AF297">
        <v>0</v>
      </c>
      <c r="AG297">
        <v>0</v>
      </c>
    </row>
    <row r="298" spans="1:33">
      <c r="A298" s="1">
        <f>HYPERLINK("https://lsnyc.legalserver.org/matter/dynamic-profile/view/1865160","18-1865160")</f>
        <v>0</v>
      </c>
      <c r="B298" t="s">
        <v>34</v>
      </c>
      <c r="C298" t="s">
        <v>64</v>
      </c>
      <c r="D298" t="s">
        <v>329</v>
      </c>
      <c r="E298" t="s">
        <v>859</v>
      </c>
      <c r="F298">
        <v>2093</v>
      </c>
      <c r="G298" t="s">
        <v>1221</v>
      </c>
      <c r="I298" t="s">
        <v>1298</v>
      </c>
      <c r="J298">
        <v>2</v>
      </c>
      <c r="K298">
        <v>0</v>
      </c>
      <c r="L298">
        <v>0</v>
      </c>
      <c r="M298" t="s">
        <v>1301</v>
      </c>
      <c r="N298">
        <v>0</v>
      </c>
      <c r="O298">
        <v>11433</v>
      </c>
      <c r="P298" t="s">
        <v>1308</v>
      </c>
      <c r="Q298" t="s">
        <v>1319</v>
      </c>
      <c r="S298" t="s">
        <v>1338</v>
      </c>
      <c r="T298" t="s">
        <v>1332</v>
      </c>
      <c r="W298" t="s">
        <v>1366</v>
      </c>
      <c r="Y298" t="s">
        <v>1361</v>
      </c>
      <c r="AA298">
        <v>0</v>
      </c>
      <c r="AB298">
        <v>0</v>
      </c>
      <c r="AD298">
        <v>0</v>
      </c>
      <c r="AE298">
        <v>0</v>
      </c>
      <c r="AF298">
        <v>0</v>
      </c>
      <c r="AG298">
        <v>0</v>
      </c>
    </row>
    <row r="299" spans="1:33">
      <c r="A299" s="1">
        <f>HYPERLINK("https://lsnyc.legalserver.org/matter/dynamic-profile/view/1867896","18-1867896")</f>
        <v>0</v>
      </c>
      <c r="B299" t="s">
        <v>34</v>
      </c>
      <c r="C299" t="s">
        <v>49</v>
      </c>
      <c r="D299" t="s">
        <v>330</v>
      </c>
      <c r="E299" t="s">
        <v>860</v>
      </c>
      <c r="F299">
        <v>2093</v>
      </c>
      <c r="G299" t="s">
        <v>1199</v>
      </c>
      <c r="I299" t="s">
        <v>1298</v>
      </c>
      <c r="J299">
        <v>4</v>
      </c>
      <c r="K299">
        <v>2</v>
      </c>
      <c r="L299">
        <v>0</v>
      </c>
      <c r="M299" t="s">
        <v>1302</v>
      </c>
      <c r="N299">
        <v>89168</v>
      </c>
      <c r="O299">
        <v>11691</v>
      </c>
      <c r="P299" t="s">
        <v>1308</v>
      </c>
      <c r="Q299" t="s">
        <v>1315</v>
      </c>
      <c r="R299" t="s">
        <v>1321</v>
      </c>
      <c r="S299" t="s">
        <v>1333</v>
      </c>
      <c r="W299" t="s">
        <v>1370</v>
      </c>
      <c r="AA299">
        <v>0</v>
      </c>
      <c r="AB299">
        <v>0</v>
      </c>
      <c r="AC299">
        <v>39532.29</v>
      </c>
      <c r="AD299">
        <v>0</v>
      </c>
      <c r="AE299">
        <v>0</v>
      </c>
      <c r="AF299">
        <v>0</v>
      </c>
      <c r="AG299">
        <v>0</v>
      </c>
    </row>
    <row r="300" spans="1:33">
      <c r="A300" s="1">
        <f>HYPERLINK("https://lsnyc.legalserver.org/matter/dynamic-profile/view/1868569","18-1868569")</f>
        <v>0</v>
      </c>
      <c r="B300" t="s">
        <v>34</v>
      </c>
      <c r="C300" t="s">
        <v>65</v>
      </c>
      <c r="D300" t="s">
        <v>147</v>
      </c>
      <c r="E300" t="s">
        <v>861</v>
      </c>
      <c r="F300">
        <v>2093</v>
      </c>
      <c r="G300" t="s">
        <v>1225</v>
      </c>
      <c r="I300" t="s">
        <v>1298</v>
      </c>
      <c r="J300">
        <v>3</v>
      </c>
      <c r="K300">
        <v>1</v>
      </c>
      <c r="L300">
        <v>0</v>
      </c>
      <c r="M300" t="s">
        <v>1302</v>
      </c>
      <c r="N300">
        <v>91185.12</v>
      </c>
      <c r="O300">
        <v>11413</v>
      </c>
      <c r="P300" t="s">
        <v>1308</v>
      </c>
      <c r="Q300" t="s">
        <v>1315</v>
      </c>
      <c r="S300" t="s">
        <v>1338</v>
      </c>
      <c r="W300" t="s">
        <v>1361</v>
      </c>
      <c r="AA300">
        <v>0</v>
      </c>
      <c r="AB300">
        <v>0</v>
      </c>
      <c r="AD300">
        <v>0</v>
      </c>
      <c r="AE300">
        <v>0</v>
      </c>
      <c r="AF300">
        <v>0</v>
      </c>
      <c r="AG300">
        <v>0</v>
      </c>
    </row>
    <row r="301" spans="1:33">
      <c r="A301" s="1">
        <f>HYPERLINK("https://lsnyc.legalserver.org/matter/dynamic-profile/view/1868589","18-1868589")</f>
        <v>0</v>
      </c>
      <c r="B301" t="s">
        <v>34</v>
      </c>
      <c r="C301" t="s">
        <v>65</v>
      </c>
      <c r="D301" t="s">
        <v>331</v>
      </c>
      <c r="E301" t="s">
        <v>862</v>
      </c>
      <c r="F301">
        <v>2093</v>
      </c>
      <c r="G301" t="s">
        <v>1184</v>
      </c>
      <c r="I301" t="s">
        <v>1298</v>
      </c>
      <c r="J301">
        <v>1</v>
      </c>
      <c r="K301">
        <v>1</v>
      </c>
      <c r="L301">
        <v>0</v>
      </c>
      <c r="M301" t="s">
        <v>1301</v>
      </c>
      <c r="N301">
        <v>16848</v>
      </c>
      <c r="O301">
        <v>11434</v>
      </c>
      <c r="P301" t="s">
        <v>1308</v>
      </c>
      <c r="Q301" t="s">
        <v>1319</v>
      </c>
      <c r="S301" t="s">
        <v>1332</v>
      </c>
      <c r="AA301">
        <v>0</v>
      </c>
      <c r="AB301">
        <v>0</v>
      </c>
      <c r="AD301">
        <v>0</v>
      </c>
      <c r="AE301">
        <v>0</v>
      </c>
      <c r="AF301">
        <v>0</v>
      </c>
      <c r="AG301">
        <v>0</v>
      </c>
    </row>
    <row r="302" spans="1:33">
      <c r="A302" s="1">
        <f>HYPERLINK("https://lsnyc.legalserver.org/matter/dynamic-profile/view/1868646","18-1868646")</f>
        <v>0</v>
      </c>
      <c r="B302" t="s">
        <v>34</v>
      </c>
      <c r="C302" t="s">
        <v>49</v>
      </c>
      <c r="D302" t="s">
        <v>157</v>
      </c>
      <c r="E302" t="s">
        <v>863</v>
      </c>
      <c r="F302">
        <v>2093</v>
      </c>
      <c r="G302" t="s">
        <v>1207</v>
      </c>
      <c r="I302" t="s">
        <v>1298</v>
      </c>
      <c r="J302">
        <v>3</v>
      </c>
      <c r="K302">
        <v>1</v>
      </c>
      <c r="L302">
        <v>0</v>
      </c>
      <c r="M302" t="s">
        <v>1301</v>
      </c>
      <c r="N302">
        <v>37680</v>
      </c>
      <c r="O302">
        <v>11413</v>
      </c>
      <c r="P302" t="s">
        <v>1308</v>
      </c>
      <c r="Q302" t="s">
        <v>1315</v>
      </c>
      <c r="S302" t="s">
        <v>1333</v>
      </c>
      <c r="T302" t="s">
        <v>1340</v>
      </c>
      <c r="U302" t="s">
        <v>1353</v>
      </c>
      <c r="W302" t="s">
        <v>1370</v>
      </c>
      <c r="AA302">
        <v>0</v>
      </c>
      <c r="AB302">
        <v>0</v>
      </c>
      <c r="AC302">
        <v>60486.69</v>
      </c>
      <c r="AD302">
        <v>0</v>
      </c>
      <c r="AE302">
        <v>0</v>
      </c>
      <c r="AF302">
        <v>0</v>
      </c>
      <c r="AG302">
        <v>0</v>
      </c>
    </row>
    <row r="303" spans="1:33">
      <c r="A303" s="1">
        <f>HYPERLINK("https://lsnyc.legalserver.org/matter/dynamic-profile/view/1868632","18-1868632")</f>
        <v>0</v>
      </c>
      <c r="B303" t="s">
        <v>33</v>
      </c>
      <c r="C303" t="s">
        <v>38</v>
      </c>
      <c r="D303" t="s">
        <v>332</v>
      </c>
      <c r="E303" t="s">
        <v>864</v>
      </c>
      <c r="F303">
        <v>2090</v>
      </c>
      <c r="G303" t="s">
        <v>1231</v>
      </c>
      <c r="I303" t="s">
        <v>1298</v>
      </c>
      <c r="J303">
        <v>2</v>
      </c>
      <c r="K303">
        <v>3</v>
      </c>
      <c r="L303">
        <v>0</v>
      </c>
      <c r="N303">
        <v>103600</v>
      </c>
      <c r="O303">
        <v>10310</v>
      </c>
      <c r="P303" t="s">
        <v>1307</v>
      </c>
      <c r="Q303" t="s">
        <v>1314</v>
      </c>
      <c r="S303" t="s">
        <v>1333</v>
      </c>
      <c r="AA303">
        <v>0</v>
      </c>
      <c r="AB303">
        <v>0</v>
      </c>
      <c r="AD303">
        <v>0</v>
      </c>
      <c r="AE303">
        <v>0</v>
      </c>
      <c r="AF303">
        <v>0</v>
      </c>
      <c r="AG303">
        <v>0</v>
      </c>
    </row>
    <row r="304" spans="1:33">
      <c r="A304" s="1">
        <f>HYPERLINK("https://lsnyc.legalserver.org/matter/dynamic-profile/view/1870676","18-1870676")</f>
        <v>0</v>
      </c>
      <c r="B304" t="s">
        <v>34</v>
      </c>
      <c r="C304" t="s">
        <v>49</v>
      </c>
      <c r="D304" t="s">
        <v>333</v>
      </c>
      <c r="E304" t="s">
        <v>865</v>
      </c>
      <c r="F304">
        <v>2093</v>
      </c>
      <c r="G304" t="s">
        <v>990</v>
      </c>
      <c r="I304" t="s">
        <v>1298</v>
      </c>
      <c r="J304">
        <v>1</v>
      </c>
      <c r="K304">
        <v>0</v>
      </c>
      <c r="L304">
        <v>0</v>
      </c>
      <c r="M304" t="s">
        <v>1302</v>
      </c>
      <c r="N304">
        <v>21600</v>
      </c>
      <c r="O304">
        <v>11436</v>
      </c>
      <c r="P304" t="s">
        <v>1308</v>
      </c>
      <c r="Q304" t="s">
        <v>1319</v>
      </c>
      <c r="S304" t="s">
        <v>1336</v>
      </c>
      <c r="T304" t="s">
        <v>1347</v>
      </c>
      <c r="W304" t="s">
        <v>1366</v>
      </c>
      <c r="Y304" t="s">
        <v>1381</v>
      </c>
      <c r="AA304">
        <v>0</v>
      </c>
      <c r="AB304">
        <v>0</v>
      </c>
      <c r="AD304">
        <v>0</v>
      </c>
      <c r="AE304">
        <v>0</v>
      </c>
      <c r="AF304">
        <v>0</v>
      </c>
      <c r="AG304">
        <v>0</v>
      </c>
    </row>
    <row r="305" spans="1:33">
      <c r="A305" s="1">
        <f>HYPERLINK("https://lsnyc.legalserver.org/matter/dynamic-profile/view/1871382","18-1871382")</f>
        <v>0</v>
      </c>
      <c r="B305" t="s">
        <v>35</v>
      </c>
      <c r="C305" t="s">
        <v>61</v>
      </c>
      <c r="D305" t="s">
        <v>294</v>
      </c>
      <c r="E305" t="s">
        <v>866</v>
      </c>
      <c r="F305">
        <v>2091</v>
      </c>
      <c r="I305" t="s">
        <v>1298</v>
      </c>
      <c r="J305">
        <v>4</v>
      </c>
      <c r="K305">
        <v>3</v>
      </c>
      <c r="L305">
        <v>0</v>
      </c>
      <c r="N305">
        <v>141880</v>
      </c>
      <c r="O305">
        <v>11203</v>
      </c>
      <c r="P305" t="s">
        <v>1309</v>
      </c>
      <c r="Q305" t="s">
        <v>1329</v>
      </c>
      <c r="S305" t="s">
        <v>1338</v>
      </c>
      <c r="AA305">
        <v>0</v>
      </c>
      <c r="AB305">
        <v>0</v>
      </c>
      <c r="AD305">
        <v>0</v>
      </c>
      <c r="AE305">
        <v>0</v>
      </c>
      <c r="AF305">
        <v>0</v>
      </c>
      <c r="AG305">
        <v>0</v>
      </c>
    </row>
    <row r="306" spans="1:33">
      <c r="A306" s="1">
        <f>HYPERLINK("https://lsnyc.legalserver.org/matter/dynamic-profile/view/1873679","18-1873679")</f>
        <v>0</v>
      </c>
      <c r="B306" t="s">
        <v>35</v>
      </c>
      <c r="C306" t="s">
        <v>52</v>
      </c>
      <c r="D306" t="s">
        <v>323</v>
      </c>
      <c r="E306" t="s">
        <v>867</v>
      </c>
      <c r="F306">
        <v>2091</v>
      </c>
      <c r="G306" t="s">
        <v>1180</v>
      </c>
      <c r="I306" t="s">
        <v>1298</v>
      </c>
      <c r="J306">
        <v>3</v>
      </c>
      <c r="K306">
        <v>0</v>
      </c>
      <c r="L306">
        <v>0</v>
      </c>
      <c r="M306" t="s">
        <v>1301</v>
      </c>
      <c r="N306">
        <v>43000</v>
      </c>
      <c r="O306">
        <v>11208</v>
      </c>
      <c r="P306" t="s">
        <v>1309</v>
      </c>
      <c r="Q306" t="s">
        <v>1317</v>
      </c>
      <c r="S306" t="s">
        <v>1338</v>
      </c>
      <c r="AA306">
        <v>0</v>
      </c>
      <c r="AB306">
        <v>0</v>
      </c>
      <c r="AD306">
        <v>0</v>
      </c>
      <c r="AE306">
        <v>0</v>
      </c>
      <c r="AF306">
        <v>0</v>
      </c>
      <c r="AG306">
        <v>0</v>
      </c>
    </row>
    <row r="307" spans="1:33">
      <c r="A307" s="1">
        <f>HYPERLINK("https://lsnyc.legalserver.org/matter/dynamic-profile/view/1873867","18-1873867")</f>
        <v>0</v>
      </c>
      <c r="B307" t="s">
        <v>34</v>
      </c>
      <c r="C307" t="s">
        <v>39</v>
      </c>
      <c r="D307" t="s">
        <v>334</v>
      </c>
      <c r="E307" t="s">
        <v>868</v>
      </c>
      <c r="F307">
        <v>2093</v>
      </c>
      <c r="G307" t="s">
        <v>1261</v>
      </c>
      <c r="I307" t="s">
        <v>1298</v>
      </c>
      <c r="J307">
        <v>3</v>
      </c>
      <c r="K307">
        <v>0</v>
      </c>
      <c r="L307">
        <v>1</v>
      </c>
      <c r="M307" t="s">
        <v>1301</v>
      </c>
      <c r="N307">
        <v>12756</v>
      </c>
      <c r="O307">
        <v>11693</v>
      </c>
      <c r="P307" t="s">
        <v>1308</v>
      </c>
      <c r="Q307" t="s">
        <v>1324</v>
      </c>
      <c r="S307" t="s">
        <v>1332</v>
      </c>
      <c r="T307" t="s">
        <v>1333</v>
      </c>
      <c r="W307" t="s">
        <v>1361</v>
      </c>
      <c r="AA307">
        <v>0</v>
      </c>
      <c r="AB307">
        <v>0</v>
      </c>
      <c r="AD307">
        <v>0</v>
      </c>
      <c r="AE307">
        <v>0</v>
      </c>
      <c r="AF307">
        <v>0</v>
      </c>
      <c r="AG307">
        <v>0</v>
      </c>
    </row>
    <row r="308" spans="1:33">
      <c r="A308" s="1">
        <f>HYPERLINK("https://lsnyc.legalserver.org/matter/dynamic-profile/view/1877388","18-1877388")</f>
        <v>0</v>
      </c>
      <c r="B308" t="s">
        <v>35</v>
      </c>
      <c r="C308" t="s">
        <v>40</v>
      </c>
      <c r="D308" t="s">
        <v>335</v>
      </c>
      <c r="E308" t="s">
        <v>869</v>
      </c>
      <c r="F308">
        <v>2091</v>
      </c>
      <c r="G308" t="s">
        <v>1262</v>
      </c>
      <c r="I308" t="s">
        <v>1298</v>
      </c>
      <c r="J308">
        <v>1</v>
      </c>
      <c r="K308">
        <v>0</v>
      </c>
      <c r="L308">
        <v>1</v>
      </c>
      <c r="M308" t="s">
        <v>1302</v>
      </c>
      <c r="N308">
        <v>34728</v>
      </c>
      <c r="O308">
        <v>11236</v>
      </c>
      <c r="P308" t="s">
        <v>1309</v>
      </c>
      <c r="Q308" t="s">
        <v>1315</v>
      </c>
      <c r="S308" t="s">
        <v>1338</v>
      </c>
      <c r="W308" t="s">
        <v>1361</v>
      </c>
      <c r="Y308" t="s">
        <v>1366</v>
      </c>
      <c r="AA308">
        <v>0</v>
      </c>
      <c r="AB308">
        <v>0</v>
      </c>
      <c r="AD308">
        <v>0</v>
      </c>
      <c r="AE308">
        <v>0</v>
      </c>
      <c r="AF308">
        <v>0</v>
      </c>
      <c r="AG308">
        <v>0</v>
      </c>
    </row>
    <row r="309" spans="1:33">
      <c r="A309" s="1">
        <f>HYPERLINK("https://lsnyc.legalserver.org/matter/dynamic-profile/view/1875943","18-1875943")</f>
        <v>0</v>
      </c>
      <c r="B309" t="s">
        <v>34</v>
      </c>
      <c r="C309" t="s">
        <v>44</v>
      </c>
      <c r="D309" t="s">
        <v>301</v>
      </c>
      <c r="E309" t="s">
        <v>870</v>
      </c>
      <c r="F309">
        <v>2093</v>
      </c>
      <c r="I309" t="s">
        <v>1298</v>
      </c>
      <c r="J309">
        <v>1</v>
      </c>
      <c r="K309">
        <v>0</v>
      </c>
      <c r="L309">
        <v>1</v>
      </c>
      <c r="N309">
        <v>37200</v>
      </c>
      <c r="O309">
        <v>11368</v>
      </c>
      <c r="P309" t="s">
        <v>1308</v>
      </c>
      <c r="Q309" t="s">
        <v>1324</v>
      </c>
      <c r="S309" t="s">
        <v>1337</v>
      </c>
      <c r="T309" t="s">
        <v>1335</v>
      </c>
      <c r="W309" t="s">
        <v>1366</v>
      </c>
      <c r="AA309">
        <v>0</v>
      </c>
      <c r="AB309">
        <v>0</v>
      </c>
      <c r="AD309">
        <v>0</v>
      </c>
      <c r="AE309">
        <v>0</v>
      </c>
      <c r="AF309">
        <v>0</v>
      </c>
      <c r="AG309">
        <v>0</v>
      </c>
    </row>
    <row r="310" spans="1:33">
      <c r="A310" s="1">
        <f>HYPERLINK("https://lsnyc.legalserver.org/matter/dynamic-profile/view/1874237","18-1874237")</f>
        <v>0</v>
      </c>
      <c r="B310" t="s">
        <v>33</v>
      </c>
      <c r="C310" t="s">
        <v>63</v>
      </c>
      <c r="D310" t="s">
        <v>115</v>
      </c>
      <c r="E310" t="s">
        <v>871</v>
      </c>
      <c r="F310">
        <v>2090</v>
      </c>
      <c r="G310" t="s">
        <v>1231</v>
      </c>
      <c r="I310" t="s">
        <v>1298</v>
      </c>
      <c r="J310">
        <v>3</v>
      </c>
      <c r="K310">
        <v>0</v>
      </c>
      <c r="L310">
        <v>0</v>
      </c>
      <c r="N310">
        <v>75000</v>
      </c>
      <c r="O310">
        <v>10305</v>
      </c>
      <c r="P310" t="s">
        <v>1307</v>
      </c>
      <c r="Q310" t="s">
        <v>1319</v>
      </c>
      <c r="S310" t="s">
        <v>1338</v>
      </c>
      <c r="AA310">
        <v>0</v>
      </c>
      <c r="AB310">
        <v>0</v>
      </c>
      <c r="AD310">
        <v>0</v>
      </c>
      <c r="AE310">
        <v>0</v>
      </c>
      <c r="AF310">
        <v>0</v>
      </c>
      <c r="AG310">
        <v>0</v>
      </c>
    </row>
    <row r="311" spans="1:33">
      <c r="A311" s="1">
        <f>HYPERLINK("https://lsnyc.legalserver.org/matter/dynamic-profile/view/1880558","18-1880558")</f>
        <v>0</v>
      </c>
      <c r="B311" t="s">
        <v>34</v>
      </c>
      <c r="C311" t="s">
        <v>64</v>
      </c>
      <c r="D311" t="s">
        <v>336</v>
      </c>
      <c r="E311" t="s">
        <v>784</v>
      </c>
      <c r="F311">
        <v>2093</v>
      </c>
      <c r="G311" t="s">
        <v>1178</v>
      </c>
      <c r="I311" t="s">
        <v>1298</v>
      </c>
      <c r="J311">
        <v>1</v>
      </c>
      <c r="K311">
        <v>0</v>
      </c>
      <c r="L311">
        <v>0</v>
      </c>
      <c r="M311" t="s">
        <v>1301</v>
      </c>
      <c r="N311">
        <v>21682.96</v>
      </c>
      <c r="O311">
        <v>11413</v>
      </c>
      <c r="P311" t="s">
        <v>1308</v>
      </c>
      <c r="Q311" t="s">
        <v>1325</v>
      </c>
      <c r="S311" t="s">
        <v>1332</v>
      </c>
      <c r="T311" t="s">
        <v>1333</v>
      </c>
      <c r="U311" t="s">
        <v>1356</v>
      </c>
      <c r="AA311">
        <v>0</v>
      </c>
      <c r="AB311">
        <v>0</v>
      </c>
      <c r="AD311">
        <v>0</v>
      </c>
      <c r="AE311">
        <v>0</v>
      </c>
      <c r="AF311">
        <v>0</v>
      </c>
      <c r="AG311">
        <v>0</v>
      </c>
    </row>
    <row r="312" spans="1:33">
      <c r="A312" s="1">
        <f>HYPERLINK("https://lsnyc.legalserver.org/matter/dynamic-profile/view/1880624","18-1880624")</f>
        <v>0</v>
      </c>
      <c r="B312" t="s">
        <v>33</v>
      </c>
      <c r="C312" t="s">
        <v>38</v>
      </c>
      <c r="D312" t="s">
        <v>337</v>
      </c>
      <c r="E312" t="s">
        <v>872</v>
      </c>
      <c r="F312">
        <v>2090</v>
      </c>
      <c r="G312" t="s">
        <v>1178</v>
      </c>
      <c r="I312" t="s">
        <v>1298</v>
      </c>
      <c r="J312">
        <v>1</v>
      </c>
      <c r="K312">
        <v>0</v>
      </c>
      <c r="L312">
        <v>2</v>
      </c>
      <c r="M312" t="s">
        <v>1302</v>
      </c>
      <c r="N312">
        <v>22164</v>
      </c>
      <c r="O312">
        <v>10310</v>
      </c>
      <c r="P312" t="s">
        <v>1307</v>
      </c>
      <c r="Q312" t="s">
        <v>1315</v>
      </c>
      <c r="S312" t="s">
        <v>1333</v>
      </c>
      <c r="T312" t="s">
        <v>1334</v>
      </c>
      <c r="AA312">
        <v>0</v>
      </c>
      <c r="AB312">
        <v>0</v>
      </c>
      <c r="AD312">
        <v>0</v>
      </c>
      <c r="AE312">
        <v>0</v>
      </c>
      <c r="AF312">
        <v>0</v>
      </c>
      <c r="AG312">
        <v>0</v>
      </c>
    </row>
    <row r="313" spans="1:33">
      <c r="A313" s="1">
        <f>HYPERLINK("https://lsnyc.legalserver.org/matter/dynamic-profile/view/1864685","18-1864685")</f>
        <v>0</v>
      </c>
      <c r="B313" t="s">
        <v>33</v>
      </c>
      <c r="C313" t="s">
        <v>38</v>
      </c>
      <c r="D313" t="s">
        <v>338</v>
      </c>
      <c r="E313" t="s">
        <v>873</v>
      </c>
      <c r="F313">
        <v>2090</v>
      </c>
      <c r="G313" t="s">
        <v>1223</v>
      </c>
      <c r="I313" t="s">
        <v>1298</v>
      </c>
      <c r="J313">
        <v>1</v>
      </c>
      <c r="K313">
        <v>0</v>
      </c>
      <c r="L313">
        <v>0</v>
      </c>
      <c r="N313">
        <v>22100</v>
      </c>
      <c r="O313">
        <v>10304</v>
      </c>
      <c r="P313" t="s">
        <v>1307</v>
      </c>
      <c r="Q313" t="s">
        <v>1315</v>
      </c>
      <c r="R313" t="s">
        <v>1314</v>
      </c>
      <c r="S313" t="s">
        <v>1336</v>
      </c>
      <c r="AA313">
        <v>0</v>
      </c>
      <c r="AB313">
        <v>0</v>
      </c>
      <c r="AD313">
        <v>0</v>
      </c>
      <c r="AE313">
        <v>0</v>
      </c>
      <c r="AF313">
        <v>0</v>
      </c>
      <c r="AG313">
        <v>0</v>
      </c>
    </row>
    <row r="314" spans="1:33">
      <c r="A314" s="1">
        <f>HYPERLINK("https://lsnyc.legalserver.org/matter/dynamic-profile/view/1881966","18-1881966")</f>
        <v>0</v>
      </c>
      <c r="B314" t="s">
        <v>34</v>
      </c>
      <c r="C314" t="s">
        <v>49</v>
      </c>
      <c r="D314" t="s">
        <v>339</v>
      </c>
      <c r="E314" t="s">
        <v>874</v>
      </c>
      <c r="F314">
        <v>2093</v>
      </c>
      <c r="G314" t="s">
        <v>1196</v>
      </c>
      <c r="I314" t="s">
        <v>1298</v>
      </c>
      <c r="J314">
        <v>2</v>
      </c>
      <c r="K314">
        <v>2</v>
      </c>
      <c r="L314">
        <v>0</v>
      </c>
      <c r="M314" t="s">
        <v>1301</v>
      </c>
      <c r="N314">
        <v>140400</v>
      </c>
      <c r="O314">
        <v>11411</v>
      </c>
      <c r="P314" t="s">
        <v>1308</v>
      </c>
      <c r="Q314" t="s">
        <v>1314</v>
      </c>
      <c r="S314" t="s">
        <v>1336</v>
      </c>
      <c r="T314" t="s">
        <v>1340</v>
      </c>
      <c r="AA314">
        <v>0</v>
      </c>
      <c r="AB314">
        <v>0</v>
      </c>
      <c r="AD314">
        <v>0</v>
      </c>
      <c r="AE314">
        <v>0</v>
      </c>
      <c r="AF314">
        <v>0</v>
      </c>
      <c r="AG314">
        <v>0</v>
      </c>
    </row>
    <row r="315" spans="1:33">
      <c r="A315" s="1">
        <f>HYPERLINK("https://lsnyc.legalserver.org/matter/dynamic-profile/view/1881969","18-1881969")</f>
        <v>0</v>
      </c>
      <c r="B315" t="s">
        <v>36</v>
      </c>
      <c r="C315" t="s">
        <v>46</v>
      </c>
      <c r="D315" t="s">
        <v>289</v>
      </c>
      <c r="E315" t="s">
        <v>818</v>
      </c>
      <c r="F315">
        <v>2094</v>
      </c>
      <c r="G315" t="s">
        <v>1229</v>
      </c>
      <c r="I315" t="s">
        <v>1298</v>
      </c>
      <c r="J315">
        <v>1</v>
      </c>
      <c r="K315">
        <v>0</v>
      </c>
      <c r="L315">
        <v>1</v>
      </c>
      <c r="M315" t="s">
        <v>1302</v>
      </c>
      <c r="N315">
        <v>16800</v>
      </c>
      <c r="O315">
        <v>10456</v>
      </c>
      <c r="P315" t="s">
        <v>1310</v>
      </c>
      <c r="Q315" t="s">
        <v>1322</v>
      </c>
      <c r="R315" t="s">
        <v>1330</v>
      </c>
      <c r="S315" t="s">
        <v>1338</v>
      </c>
      <c r="W315" t="s">
        <v>1365</v>
      </c>
      <c r="AA315">
        <v>0</v>
      </c>
      <c r="AB315">
        <v>0</v>
      </c>
      <c r="AD315">
        <v>0</v>
      </c>
      <c r="AE315">
        <v>0</v>
      </c>
      <c r="AF315">
        <v>0</v>
      </c>
      <c r="AG315">
        <v>0</v>
      </c>
    </row>
    <row r="316" spans="1:33">
      <c r="A316" s="1">
        <f>HYPERLINK("https://lsnyc.legalserver.org/matter/dynamic-profile/view/1882086","18-1882086")</f>
        <v>0</v>
      </c>
      <c r="B316" t="s">
        <v>35</v>
      </c>
      <c r="C316" t="s">
        <v>40</v>
      </c>
      <c r="D316" t="s">
        <v>340</v>
      </c>
      <c r="E316" t="s">
        <v>875</v>
      </c>
      <c r="F316">
        <v>2091</v>
      </c>
      <c r="G316" t="s">
        <v>1180</v>
      </c>
      <c r="H316" t="s">
        <v>1240</v>
      </c>
      <c r="I316" t="s">
        <v>1298</v>
      </c>
      <c r="J316">
        <v>2</v>
      </c>
      <c r="K316">
        <v>0</v>
      </c>
      <c r="L316">
        <v>0</v>
      </c>
      <c r="M316" t="s">
        <v>1302</v>
      </c>
      <c r="N316">
        <v>71200</v>
      </c>
      <c r="O316">
        <v>11236</v>
      </c>
      <c r="P316" t="s">
        <v>1309</v>
      </c>
      <c r="Q316" t="s">
        <v>1325</v>
      </c>
      <c r="S316" t="s">
        <v>1332</v>
      </c>
      <c r="T316" t="s">
        <v>1342</v>
      </c>
      <c r="X316" t="s">
        <v>1361</v>
      </c>
      <c r="Z316" t="s">
        <v>1381</v>
      </c>
      <c r="AA316">
        <v>0</v>
      </c>
      <c r="AB316">
        <v>0</v>
      </c>
      <c r="AD316">
        <v>0</v>
      </c>
      <c r="AE316">
        <v>0</v>
      </c>
      <c r="AF316">
        <v>0</v>
      </c>
      <c r="AG316">
        <v>0</v>
      </c>
    </row>
    <row r="317" spans="1:33">
      <c r="A317" s="1">
        <f>HYPERLINK("https://lsnyc.legalserver.org/matter/dynamic-profile/view/1882678","18-1882678")</f>
        <v>0</v>
      </c>
      <c r="B317" t="s">
        <v>33</v>
      </c>
      <c r="C317" t="s">
        <v>56</v>
      </c>
      <c r="D317" t="s">
        <v>341</v>
      </c>
      <c r="E317" t="s">
        <v>876</v>
      </c>
      <c r="F317">
        <v>2090</v>
      </c>
      <c r="G317" t="s">
        <v>1206</v>
      </c>
      <c r="I317" t="s">
        <v>1298</v>
      </c>
      <c r="J317">
        <v>1</v>
      </c>
      <c r="K317">
        <v>0</v>
      </c>
      <c r="L317">
        <v>0</v>
      </c>
      <c r="N317">
        <v>23400</v>
      </c>
      <c r="O317">
        <v>10314</v>
      </c>
      <c r="P317" t="s">
        <v>1307</v>
      </c>
      <c r="Q317" t="s">
        <v>1319</v>
      </c>
      <c r="S317" t="s">
        <v>1336</v>
      </c>
      <c r="AA317">
        <v>0</v>
      </c>
      <c r="AB317">
        <v>0</v>
      </c>
      <c r="AD317">
        <v>0</v>
      </c>
      <c r="AE317">
        <v>0</v>
      </c>
      <c r="AF317">
        <v>0</v>
      </c>
      <c r="AG317">
        <v>0</v>
      </c>
    </row>
    <row r="318" spans="1:33">
      <c r="A318" s="1">
        <f>HYPERLINK("https://lsnyc.legalserver.org/matter/dynamic-profile/view/1883457","18-1883457")</f>
        <v>0</v>
      </c>
      <c r="B318" t="s">
        <v>34</v>
      </c>
      <c r="C318" t="s">
        <v>64</v>
      </c>
      <c r="D318" t="s">
        <v>342</v>
      </c>
      <c r="E318" t="s">
        <v>877</v>
      </c>
      <c r="F318">
        <v>2093</v>
      </c>
      <c r="G318" t="s">
        <v>1178</v>
      </c>
      <c r="I318" t="s">
        <v>1298</v>
      </c>
      <c r="J318">
        <v>1</v>
      </c>
      <c r="K318">
        <v>2</v>
      </c>
      <c r="L318">
        <v>0</v>
      </c>
      <c r="M318" t="s">
        <v>1301</v>
      </c>
      <c r="N318">
        <v>20800</v>
      </c>
      <c r="O318">
        <v>11691</v>
      </c>
      <c r="P318" t="s">
        <v>1308</v>
      </c>
      <c r="Q318" t="s">
        <v>1325</v>
      </c>
      <c r="S318" t="s">
        <v>1338</v>
      </c>
      <c r="T318" t="s">
        <v>1339</v>
      </c>
      <c r="W318" t="s">
        <v>1383</v>
      </c>
      <c r="Y318" t="s">
        <v>1366</v>
      </c>
      <c r="AA318">
        <v>0</v>
      </c>
      <c r="AB318">
        <v>0</v>
      </c>
      <c r="AD318">
        <v>0</v>
      </c>
      <c r="AE318">
        <v>0</v>
      </c>
      <c r="AF318">
        <v>0</v>
      </c>
      <c r="AG318">
        <v>0</v>
      </c>
    </row>
    <row r="319" spans="1:33">
      <c r="A319" s="1">
        <f>HYPERLINK("https://lsnyc.legalserver.org/matter/dynamic-profile/view/1882222","18-1882222")</f>
        <v>0</v>
      </c>
      <c r="B319" t="s">
        <v>34</v>
      </c>
      <c r="C319" t="s">
        <v>49</v>
      </c>
      <c r="D319" t="s">
        <v>343</v>
      </c>
      <c r="E319" t="s">
        <v>878</v>
      </c>
      <c r="F319">
        <v>2093</v>
      </c>
      <c r="G319" t="s">
        <v>1182</v>
      </c>
      <c r="I319" t="s">
        <v>1298</v>
      </c>
      <c r="J319">
        <v>2</v>
      </c>
      <c r="K319">
        <v>1</v>
      </c>
      <c r="L319">
        <v>0</v>
      </c>
      <c r="M319" t="s">
        <v>1301</v>
      </c>
      <c r="N319">
        <v>65600.08</v>
      </c>
      <c r="O319">
        <v>11436</v>
      </c>
      <c r="P319" t="s">
        <v>1308</v>
      </c>
      <c r="Q319" t="s">
        <v>1315</v>
      </c>
      <c r="S319" t="s">
        <v>1333</v>
      </c>
      <c r="W319" t="s">
        <v>1366</v>
      </c>
      <c r="AA319">
        <v>0</v>
      </c>
      <c r="AB319">
        <v>0</v>
      </c>
      <c r="AD319">
        <v>0</v>
      </c>
      <c r="AE319">
        <v>0</v>
      </c>
      <c r="AF319">
        <v>0</v>
      </c>
      <c r="AG319">
        <v>0</v>
      </c>
    </row>
    <row r="320" spans="1:33">
      <c r="A320" s="1">
        <f>HYPERLINK("https://lsnyc.legalserver.org/matter/dynamic-profile/view/1883866","18-1883866")</f>
        <v>0</v>
      </c>
      <c r="B320" t="s">
        <v>34</v>
      </c>
      <c r="C320" t="s">
        <v>64</v>
      </c>
      <c r="D320" t="s">
        <v>344</v>
      </c>
      <c r="E320" t="s">
        <v>879</v>
      </c>
      <c r="F320">
        <v>2093</v>
      </c>
      <c r="G320" t="s">
        <v>1225</v>
      </c>
      <c r="H320" t="s">
        <v>1214</v>
      </c>
      <c r="I320" t="s">
        <v>1298</v>
      </c>
      <c r="J320">
        <v>1</v>
      </c>
      <c r="K320">
        <v>0</v>
      </c>
      <c r="L320">
        <v>1</v>
      </c>
      <c r="M320" t="s">
        <v>1301</v>
      </c>
      <c r="N320">
        <v>12000</v>
      </c>
      <c r="O320">
        <v>11422</v>
      </c>
      <c r="P320" t="s">
        <v>1308</v>
      </c>
      <c r="Q320" t="s">
        <v>1331</v>
      </c>
      <c r="S320" t="s">
        <v>1337</v>
      </c>
      <c r="W320" t="s">
        <v>1366</v>
      </c>
      <c r="AA320">
        <v>0</v>
      </c>
      <c r="AB320">
        <v>0</v>
      </c>
      <c r="AD320">
        <v>0</v>
      </c>
      <c r="AE320">
        <v>0</v>
      </c>
      <c r="AF320">
        <v>0</v>
      </c>
      <c r="AG320">
        <v>0</v>
      </c>
    </row>
    <row r="321" spans="1:33">
      <c r="A321" s="1">
        <f>HYPERLINK("https://lsnyc.legalserver.org/matter/dynamic-profile/view/1885044","18-1885044")</f>
        <v>0</v>
      </c>
      <c r="B321" t="s">
        <v>33</v>
      </c>
      <c r="C321" t="s">
        <v>56</v>
      </c>
      <c r="D321" t="s">
        <v>345</v>
      </c>
      <c r="E321" t="s">
        <v>647</v>
      </c>
      <c r="F321">
        <v>2090</v>
      </c>
      <c r="G321" t="s">
        <v>1181</v>
      </c>
      <c r="I321" t="s">
        <v>1298</v>
      </c>
      <c r="J321">
        <v>2</v>
      </c>
      <c r="K321">
        <v>1</v>
      </c>
      <c r="L321">
        <v>0</v>
      </c>
      <c r="M321" t="s">
        <v>1301</v>
      </c>
      <c r="N321">
        <v>90000</v>
      </c>
      <c r="O321">
        <v>10310</v>
      </c>
      <c r="P321" t="s">
        <v>1307</v>
      </c>
      <c r="Q321" t="s">
        <v>1314</v>
      </c>
      <c r="S321" t="s">
        <v>1332</v>
      </c>
      <c r="T321" t="s">
        <v>1336</v>
      </c>
      <c r="AA321">
        <v>0</v>
      </c>
      <c r="AB321">
        <v>0</v>
      </c>
      <c r="AD321">
        <v>0</v>
      </c>
      <c r="AE321">
        <v>0</v>
      </c>
      <c r="AF321">
        <v>0</v>
      </c>
      <c r="AG321">
        <v>0</v>
      </c>
    </row>
    <row r="322" spans="1:33">
      <c r="A322" s="1">
        <f>HYPERLINK("https://lsnyc.legalserver.org/matter/dynamic-profile/view/1885923","18-1885923")</f>
        <v>0</v>
      </c>
      <c r="B322" t="s">
        <v>36</v>
      </c>
      <c r="C322" t="s">
        <v>59</v>
      </c>
      <c r="D322" t="s">
        <v>323</v>
      </c>
      <c r="E322" t="s">
        <v>880</v>
      </c>
      <c r="F322">
        <v>2094</v>
      </c>
      <c r="G322" t="s">
        <v>1182</v>
      </c>
      <c r="I322" t="s">
        <v>1298</v>
      </c>
      <c r="J322">
        <v>2</v>
      </c>
      <c r="K322">
        <v>0</v>
      </c>
      <c r="L322">
        <v>0</v>
      </c>
      <c r="M322" t="s">
        <v>1302</v>
      </c>
      <c r="N322">
        <v>18500</v>
      </c>
      <c r="O322">
        <v>10469</v>
      </c>
      <c r="P322" t="s">
        <v>1310</v>
      </c>
      <c r="Q322" t="s">
        <v>1315</v>
      </c>
      <c r="R322" t="s">
        <v>1326</v>
      </c>
      <c r="S322" t="s">
        <v>1338</v>
      </c>
      <c r="AA322">
        <v>0</v>
      </c>
      <c r="AB322">
        <v>0</v>
      </c>
      <c r="AD322">
        <v>0</v>
      </c>
      <c r="AE322">
        <v>0</v>
      </c>
      <c r="AF322">
        <v>0</v>
      </c>
      <c r="AG322">
        <v>0</v>
      </c>
    </row>
    <row r="323" spans="1:33">
      <c r="A323" s="1">
        <f>HYPERLINK("https://lsnyc.legalserver.org/matter/dynamic-profile/view/1886371","18-1886371")</f>
        <v>0</v>
      </c>
      <c r="B323" t="s">
        <v>33</v>
      </c>
      <c r="C323" t="s">
        <v>56</v>
      </c>
      <c r="D323" t="s">
        <v>346</v>
      </c>
      <c r="E323" t="s">
        <v>645</v>
      </c>
      <c r="F323">
        <v>2090</v>
      </c>
      <c r="G323" t="s">
        <v>1210</v>
      </c>
      <c r="I323" t="s">
        <v>1298</v>
      </c>
      <c r="J323">
        <v>1</v>
      </c>
      <c r="K323">
        <v>1</v>
      </c>
      <c r="L323">
        <v>0</v>
      </c>
      <c r="M323" t="s">
        <v>1301</v>
      </c>
      <c r="N323">
        <v>16000</v>
      </c>
      <c r="O323">
        <v>10312</v>
      </c>
      <c r="P323" t="s">
        <v>1307</v>
      </c>
      <c r="Q323" t="s">
        <v>1328</v>
      </c>
      <c r="S323" t="s">
        <v>1332</v>
      </c>
      <c r="AA323">
        <v>0</v>
      </c>
      <c r="AB323">
        <v>0</v>
      </c>
      <c r="AD323">
        <v>0</v>
      </c>
      <c r="AE323">
        <v>0</v>
      </c>
      <c r="AF323">
        <v>0</v>
      </c>
      <c r="AG323">
        <v>0</v>
      </c>
    </row>
    <row r="324" spans="1:33">
      <c r="A324" s="1">
        <f>HYPERLINK("https://lsnyc.legalserver.org/matter/dynamic-profile/view/1886187","18-1886187")</f>
        <v>0</v>
      </c>
      <c r="B324" t="s">
        <v>33</v>
      </c>
      <c r="C324" t="s">
        <v>56</v>
      </c>
      <c r="D324" t="s">
        <v>347</v>
      </c>
      <c r="E324" t="s">
        <v>100</v>
      </c>
      <c r="F324">
        <v>2090</v>
      </c>
      <c r="G324" t="s">
        <v>1182</v>
      </c>
      <c r="I324" t="s">
        <v>1298</v>
      </c>
      <c r="J324">
        <v>1</v>
      </c>
      <c r="K324">
        <v>0</v>
      </c>
      <c r="L324">
        <v>1</v>
      </c>
      <c r="M324" t="s">
        <v>1302</v>
      </c>
      <c r="N324">
        <v>21480</v>
      </c>
      <c r="O324">
        <v>10302</v>
      </c>
      <c r="P324" t="s">
        <v>1307</v>
      </c>
      <c r="Q324" t="s">
        <v>1324</v>
      </c>
      <c r="S324" t="s">
        <v>1334</v>
      </c>
      <c r="W324" t="s">
        <v>1366</v>
      </c>
      <c r="AA324">
        <v>0</v>
      </c>
      <c r="AB324">
        <v>0</v>
      </c>
      <c r="AD324">
        <v>0</v>
      </c>
      <c r="AE324">
        <v>0</v>
      </c>
      <c r="AF324">
        <v>0</v>
      </c>
      <c r="AG324">
        <v>0</v>
      </c>
    </row>
    <row r="325" spans="1:33">
      <c r="A325" s="1">
        <f>HYPERLINK("https://lsnyc.legalserver.org/matter/dynamic-profile/view/1886825","19-1886825")</f>
        <v>0</v>
      </c>
      <c r="B325" t="s">
        <v>34</v>
      </c>
      <c r="C325" t="s">
        <v>65</v>
      </c>
      <c r="D325" t="s">
        <v>250</v>
      </c>
      <c r="E325" t="s">
        <v>881</v>
      </c>
      <c r="F325">
        <v>2093</v>
      </c>
      <c r="G325" t="s">
        <v>1224</v>
      </c>
      <c r="I325" t="s">
        <v>1298</v>
      </c>
      <c r="J325">
        <v>2</v>
      </c>
      <c r="K325">
        <v>1</v>
      </c>
      <c r="L325">
        <v>0</v>
      </c>
      <c r="M325" t="s">
        <v>1302</v>
      </c>
      <c r="N325">
        <v>26472</v>
      </c>
      <c r="O325">
        <v>11413</v>
      </c>
      <c r="P325" t="s">
        <v>1308</v>
      </c>
      <c r="Q325" t="s">
        <v>1316</v>
      </c>
      <c r="S325" t="s">
        <v>1332</v>
      </c>
      <c r="T325" t="s">
        <v>1337</v>
      </c>
      <c r="AA325">
        <v>0</v>
      </c>
      <c r="AB325">
        <v>0</v>
      </c>
      <c r="AD325">
        <v>0</v>
      </c>
      <c r="AE325">
        <v>0</v>
      </c>
      <c r="AF325">
        <v>0</v>
      </c>
      <c r="AG325">
        <v>0</v>
      </c>
    </row>
    <row r="326" spans="1:33">
      <c r="A326" s="1">
        <f>HYPERLINK("https://lsnyc.legalserver.org/matter/dynamic-profile/view/1887349","19-1887349")</f>
        <v>0</v>
      </c>
      <c r="B326" t="s">
        <v>34</v>
      </c>
      <c r="C326" t="s">
        <v>49</v>
      </c>
      <c r="D326" t="s">
        <v>348</v>
      </c>
      <c r="E326" t="s">
        <v>882</v>
      </c>
      <c r="F326">
        <v>2093</v>
      </c>
      <c r="G326" t="s">
        <v>1182</v>
      </c>
      <c r="I326" t="s">
        <v>1298</v>
      </c>
      <c r="J326">
        <v>2</v>
      </c>
      <c r="K326">
        <v>0</v>
      </c>
      <c r="L326">
        <v>1</v>
      </c>
      <c r="M326" t="s">
        <v>1301</v>
      </c>
      <c r="N326">
        <v>60400</v>
      </c>
      <c r="O326">
        <v>11436</v>
      </c>
      <c r="P326" t="s">
        <v>1308</v>
      </c>
      <c r="Q326" t="s">
        <v>1314</v>
      </c>
      <c r="R326" t="s">
        <v>1315</v>
      </c>
      <c r="S326" t="s">
        <v>1332</v>
      </c>
      <c r="W326" t="s">
        <v>1361</v>
      </c>
      <c r="AA326">
        <v>0</v>
      </c>
      <c r="AB326">
        <v>0</v>
      </c>
      <c r="AD326">
        <v>0</v>
      </c>
      <c r="AE326">
        <v>0</v>
      </c>
      <c r="AF326">
        <v>0</v>
      </c>
      <c r="AG326">
        <v>0</v>
      </c>
    </row>
    <row r="327" spans="1:33">
      <c r="A327" s="1">
        <f>HYPERLINK("https://lsnyc.legalserver.org/matter/dynamic-profile/view/1888526","19-1888526")</f>
        <v>0</v>
      </c>
      <c r="B327" t="s">
        <v>34</v>
      </c>
      <c r="C327" t="s">
        <v>42</v>
      </c>
      <c r="D327" t="s">
        <v>199</v>
      </c>
      <c r="E327" t="s">
        <v>883</v>
      </c>
      <c r="F327">
        <v>2093</v>
      </c>
      <c r="I327" t="s">
        <v>1298</v>
      </c>
      <c r="J327">
        <v>4</v>
      </c>
      <c r="K327">
        <v>0</v>
      </c>
      <c r="L327">
        <v>2</v>
      </c>
      <c r="M327" t="s">
        <v>1302</v>
      </c>
      <c r="N327">
        <v>84000</v>
      </c>
      <c r="O327">
        <v>11412</v>
      </c>
      <c r="P327" t="s">
        <v>1308</v>
      </c>
      <c r="Q327" t="s">
        <v>1329</v>
      </c>
      <c r="S327" t="s">
        <v>1338</v>
      </c>
      <c r="AA327">
        <v>0</v>
      </c>
      <c r="AB327">
        <v>0</v>
      </c>
      <c r="AD327">
        <v>0</v>
      </c>
      <c r="AE327">
        <v>0</v>
      </c>
      <c r="AF327">
        <v>0</v>
      </c>
      <c r="AG327">
        <v>0</v>
      </c>
    </row>
    <row r="328" spans="1:33">
      <c r="A328" s="1">
        <f>HYPERLINK("https://lsnyc.legalserver.org/matter/dynamic-profile/view/1888606","19-1888606")</f>
        <v>0</v>
      </c>
      <c r="B328" t="s">
        <v>34</v>
      </c>
      <c r="C328" t="s">
        <v>64</v>
      </c>
      <c r="D328" t="s">
        <v>349</v>
      </c>
      <c r="E328" t="s">
        <v>884</v>
      </c>
      <c r="F328">
        <v>2093</v>
      </c>
      <c r="G328" t="s">
        <v>1195</v>
      </c>
      <c r="I328" t="s">
        <v>1298</v>
      </c>
      <c r="J328">
        <v>1</v>
      </c>
      <c r="K328">
        <v>0</v>
      </c>
      <c r="L328">
        <v>0</v>
      </c>
      <c r="M328" t="s">
        <v>1301</v>
      </c>
      <c r="N328">
        <v>38000</v>
      </c>
      <c r="O328">
        <v>11411</v>
      </c>
      <c r="P328" t="s">
        <v>1308</v>
      </c>
      <c r="Q328" t="s">
        <v>1315</v>
      </c>
      <c r="R328" t="s">
        <v>1325</v>
      </c>
      <c r="S328" t="s">
        <v>1332</v>
      </c>
      <c r="T328" t="s">
        <v>1337</v>
      </c>
      <c r="W328" t="s">
        <v>1361</v>
      </c>
      <c r="Y328" t="s">
        <v>1366</v>
      </c>
      <c r="AA328">
        <v>0</v>
      </c>
      <c r="AB328">
        <v>0</v>
      </c>
      <c r="AD328">
        <v>0</v>
      </c>
      <c r="AE328">
        <v>0</v>
      </c>
      <c r="AF328">
        <v>0</v>
      </c>
      <c r="AG328">
        <v>0</v>
      </c>
    </row>
    <row r="329" spans="1:33">
      <c r="A329" s="1">
        <f>HYPERLINK("https://lsnyc.legalserver.org/matter/dynamic-profile/view/1888854","19-1888854")</f>
        <v>0</v>
      </c>
      <c r="B329" t="s">
        <v>34</v>
      </c>
      <c r="C329" t="s">
        <v>65</v>
      </c>
      <c r="D329" t="s">
        <v>100</v>
      </c>
      <c r="E329" t="s">
        <v>885</v>
      </c>
      <c r="F329">
        <v>2093</v>
      </c>
      <c r="G329" t="s">
        <v>1185</v>
      </c>
      <c r="H329" t="s">
        <v>1191</v>
      </c>
      <c r="I329" t="s">
        <v>1298</v>
      </c>
      <c r="J329">
        <v>2</v>
      </c>
      <c r="K329">
        <v>0</v>
      </c>
      <c r="L329">
        <v>0</v>
      </c>
      <c r="M329" t="s">
        <v>1301</v>
      </c>
      <c r="N329">
        <v>77280</v>
      </c>
      <c r="O329">
        <v>11413</v>
      </c>
      <c r="P329" t="s">
        <v>1308</v>
      </c>
      <c r="Q329" t="s">
        <v>1315</v>
      </c>
      <c r="S329" t="s">
        <v>1332</v>
      </c>
      <c r="T329" t="s">
        <v>1336</v>
      </c>
      <c r="AA329">
        <v>0</v>
      </c>
      <c r="AB329">
        <v>0</v>
      </c>
      <c r="AD329">
        <v>0</v>
      </c>
      <c r="AE329">
        <v>0</v>
      </c>
      <c r="AF329">
        <v>0</v>
      </c>
      <c r="AG329">
        <v>0</v>
      </c>
    </row>
    <row r="330" spans="1:33">
      <c r="A330" s="1">
        <f>HYPERLINK("https://lsnyc.legalserver.org/matter/dynamic-profile/view/1888621","19-1888621")</f>
        <v>0</v>
      </c>
      <c r="B330" t="s">
        <v>33</v>
      </c>
      <c r="C330" t="s">
        <v>38</v>
      </c>
      <c r="D330" t="s">
        <v>190</v>
      </c>
      <c r="E330" t="s">
        <v>886</v>
      </c>
      <c r="F330">
        <v>2090</v>
      </c>
      <c r="G330" t="s">
        <v>1210</v>
      </c>
      <c r="I330" t="s">
        <v>1298</v>
      </c>
      <c r="J330">
        <v>2</v>
      </c>
      <c r="K330">
        <v>0</v>
      </c>
      <c r="L330">
        <v>0</v>
      </c>
      <c r="M330" t="s">
        <v>1301</v>
      </c>
      <c r="N330">
        <v>67600</v>
      </c>
      <c r="O330">
        <v>10303</v>
      </c>
      <c r="P330" t="s">
        <v>1307</v>
      </c>
      <c r="Q330" t="s">
        <v>1321</v>
      </c>
      <c r="S330" t="s">
        <v>1334</v>
      </c>
      <c r="W330" t="s">
        <v>1366</v>
      </c>
      <c r="AA330">
        <v>0</v>
      </c>
      <c r="AB330">
        <v>0</v>
      </c>
      <c r="AD330">
        <v>0</v>
      </c>
      <c r="AE330">
        <v>0</v>
      </c>
      <c r="AF330">
        <v>0</v>
      </c>
      <c r="AG330">
        <v>0</v>
      </c>
    </row>
    <row r="331" spans="1:33">
      <c r="A331" s="1">
        <f>HYPERLINK("https://lsnyc.legalserver.org/matter/dynamic-profile/view/1889515","19-1889515")</f>
        <v>0</v>
      </c>
      <c r="B331" t="s">
        <v>34</v>
      </c>
      <c r="C331" t="s">
        <v>49</v>
      </c>
      <c r="D331" t="s">
        <v>350</v>
      </c>
      <c r="E331" t="s">
        <v>887</v>
      </c>
      <c r="F331">
        <v>2093</v>
      </c>
      <c r="G331" t="s">
        <v>1178</v>
      </c>
      <c r="I331" t="s">
        <v>1298</v>
      </c>
      <c r="J331">
        <v>1</v>
      </c>
      <c r="K331">
        <v>0</v>
      </c>
      <c r="L331">
        <v>0</v>
      </c>
      <c r="M331" t="s">
        <v>1301</v>
      </c>
      <c r="N331">
        <v>42000</v>
      </c>
      <c r="O331">
        <v>11412</v>
      </c>
      <c r="P331" t="s">
        <v>1308</v>
      </c>
      <c r="Q331" t="s">
        <v>1325</v>
      </c>
      <c r="S331" t="s">
        <v>1333</v>
      </c>
      <c r="T331" t="s">
        <v>1340</v>
      </c>
      <c r="AA331">
        <v>0</v>
      </c>
      <c r="AB331">
        <v>0</v>
      </c>
      <c r="AD331">
        <v>0</v>
      </c>
      <c r="AE331">
        <v>0</v>
      </c>
      <c r="AF331">
        <v>0</v>
      </c>
      <c r="AG331">
        <v>0</v>
      </c>
    </row>
    <row r="332" spans="1:33">
      <c r="A332" s="1">
        <f>HYPERLINK("https://lsnyc.legalserver.org/matter/dynamic-profile/view/1888731","19-1888731")</f>
        <v>0</v>
      </c>
      <c r="B332" t="s">
        <v>33</v>
      </c>
      <c r="C332" t="s">
        <v>63</v>
      </c>
      <c r="D332" t="s">
        <v>351</v>
      </c>
      <c r="E332" t="s">
        <v>888</v>
      </c>
      <c r="F332">
        <v>2090</v>
      </c>
      <c r="G332" t="s">
        <v>1198</v>
      </c>
      <c r="I332" t="s">
        <v>1298</v>
      </c>
      <c r="J332">
        <v>2</v>
      </c>
      <c r="K332">
        <v>0</v>
      </c>
      <c r="L332">
        <v>0</v>
      </c>
      <c r="N332">
        <v>43420</v>
      </c>
      <c r="O332">
        <v>10303</v>
      </c>
      <c r="P332" t="s">
        <v>1307</v>
      </c>
      <c r="Q332" t="s">
        <v>1316</v>
      </c>
      <c r="R332" t="s">
        <v>1318</v>
      </c>
      <c r="S332" t="s">
        <v>1337</v>
      </c>
      <c r="AA332">
        <v>0</v>
      </c>
      <c r="AB332">
        <v>0</v>
      </c>
      <c r="AD332">
        <v>0</v>
      </c>
      <c r="AE332">
        <v>0</v>
      </c>
      <c r="AF332">
        <v>0</v>
      </c>
      <c r="AG332">
        <v>0</v>
      </c>
    </row>
    <row r="333" spans="1:33">
      <c r="A333" s="1">
        <f>HYPERLINK("https://lsnyc.legalserver.org/matter/dynamic-profile/view/1889979","19-1889979")</f>
        <v>0</v>
      </c>
      <c r="B333" t="s">
        <v>34</v>
      </c>
      <c r="C333" t="s">
        <v>54</v>
      </c>
      <c r="D333" t="s">
        <v>352</v>
      </c>
      <c r="E333" t="s">
        <v>469</v>
      </c>
      <c r="F333">
        <v>2093</v>
      </c>
      <c r="G333" t="s">
        <v>1213</v>
      </c>
      <c r="I333" t="s">
        <v>1298</v>
      </c>
      <c r="J333">
        <v>3</v>
      </c>
      <c r="K333">
        <v>0</v>
      </c>
      <c r="L333">
        <v>0</v>
      </c>
      <c r="M333" t="s">
        <v>1302</v>
      </c>
      <c r="N333">
        <v>45200</v>
      </c>
      <c r="O333">
        <v>11434</v>
      </c>
      <c r="P333" t="s">
        <v>1308</v>
      </c>
      <c r="Q333" t="s">
        <v>1321</v>
      </c>
      <c r="S333" t="s">
        <v>1346</v>
      </c>
      <c r="W333" t="s">
        <v>1370</v>
      </c>
      <c r="AA333">
        <v>0</v>
      </c>
      <c r="AB333">
        <v>0</v>
      </c>
      <c r="AD333">
        <v>0</v>
      </c>
      <c r="AE333">
        <v>0</v>
      </c>
      <c r="AF333">
        <v>0</v>
      </c>
      <c r="AG333">
        <v>0</v>
      </c>
    </row>
    <row r="334" spans="1:33">
      <c r="A334" s="1">
        <f>HYPERLINK("https://lsnyc.legalserver.org/matter/dynamic-profile/view/1890254","19-1890254")</f>
        <v>0</v>
      </c>
      <c r="B334" t="s">
        <v>36</v>
      </c>
      <c r="C334" t="s">
        <v>58</v>
      </c>
      <c r="D334" t="s">
        <v>353</v>
      </c>
      <c r="E334" t="s">
        <v>98</v>
      </c>
      <c r="F334">
        <v>2094</v>
      </c>
      <c r="G334" t="s">
        <v>1208</v>
      </c>
      <c r="I334" t="s">
        <v>1298</v>
      </c>
      <c r="J334">
        <v>3</v>
      </c>
      <c r="K334">
        <v>3</v>
      </c>
      <c r="L334">
        <v>0</v>
      </c>
      <c r="M334" t="s">
        <v>1301</v>
      </c>
      <c r="N334">
        <v>103400</v>
      </c>
      <c r="O334">
        <v>10469</v>
      </c>
      <c r="P334" t="s">
        <v>1310</v>
      </c>
      <c r="Q334" t="s">
        <v>1315</v>
      </c>
      <c r="S334" t="s">
        <v>1337</v>
      </c>
      <c r="U334" t="s">
        <v>1353</v>
      </c>
      <c r="W334" t="s">
        <v>1366</v>
      </c>
      <c r="AA334">
        <v>2979.33</v>
      </c>
      <c r="AB334">
        <v>0</v>
      </c>
      <c r="AD334">
        <v>0</v>
      </c>
      <c r="AE334">
        <v>0</v>
      </c>
      <c r="AF334">
        <v>0</v>
      </c>
      <c r="AG334">
        <v>0</v>
      </c>
    </row>
    <row r="335" spans="1:33">
      <c r="A335" s="1">
        <f>HYPERLINK("https://lsnyc.legalserver.org/matter/dynamic-profile/view/1890487","19-1890487")</f>
        <v>0</v>
      </c>
      <c r="B335" t="s">
        <v>34</v>
      </c>
      <c r="C335" t="s">
        <v>49</v>
      </c>
      <c r="D335" t="s">
        <v>117</v>
      </c>
      <c r="E335" t="s">
        <v>889</v>
      </c>
      <c r="F335">
        <v>2093</v>
      </c>
      <c r="G335" t="s">
        <v>1214</v>
      </c>
      <c r="I335" t="s">
        <v>1298</v>
      </c>
      <c r="J335">
        <v>1</v>
      </c>
      <c r="K335">
        <v>0</v>
      </c>
      <c r="L335">
        <v>1</v>
      </c>
      <c r="M335" t="s">
        <v>1301</v>
      </c>
      <c r="N335">
        <v>30000</v>
      </c>
      <c r="O335">
        <v>11427</v>
      </c>
      <c r="P335" t="s">
        <v>1308</v>
      </c>
      <c r="Q335" t="s">
        <v>1315</v>
      </c>
      <c r="AA335">
        <v>0</v>
      </c>
      <c r="AB335">
        <v>0</v>
      </c>
      <c r="AD335">
        <v>0</v>
      </c>
      <c r="AE335">
        <v>0</v>
      </c>
      <c r="AF335">
        <v>0</v>
      </c>
      <c r="AG335">
        <v>0</v>
      </c>
    </row>
    <row r="336" spans="1:33">
      <c r="A336" s="1">
        <f>HYPERLINK("https://lsnyc.legalserver.org/matter/dynamic-profile/view/1890607","19-1890607")</f>
        <v>0</v>
      </c>
      <c r="B336" t="s">
        <v>34</v>
      </c>
      <c r="C336" t="s">
        <v>49</v>
      </c>
      <c r="D336" t="s">
        <v>354</v>
      </c>
      <c r="E336" t="s">
        <v>890</v>
      </c>
      <c r="F336">
        <v>2093</v>
      </c>
      <c r="G336" t="s">
        <v>1230</v>
      </c>
      <c r="I336" t="s">
        <v>1298</v>
      </c>
      <c r="J336">
        <v>2</v>
      </c>
      <c r="K336">
        <v>0</v>
      </c>
      <c r="L336">
        <v>0</v>
      </c>
      <c r="M336" t="s">
        <v>1301</v>
      </c>
      <c r="N336">
        <v>74400</v>
      </c>
      <c r="O336">
        <v>11422</v>
      </c>
      <c r="P336" t="s">
        <v>1308</v>
      </c>
      <c r="Q336" t="s">
        <v>1315</v>
      </c>
      <c r="S336" t="s">
        <v>1332</v>
      </c>
      <c r="T336" t="s">
        <v>1333</v>
      </c>
      <c r="AA336">
        <v>0</v>
      </c>
      <c r="AB336">
        <v>0</v>
      </c>
      <c r="AD336">
        <v>0</v>
      </c>
      <c r="AE336">
        <v>0</v>
      </c>
      <c r="AF336">
        <v>0</v>
      </c>
      <c r="AG336">
        <v>0</v>
      </c>
    </row>
    <row r="337" spans="1:33">
      <c r="A337" s="1">
        <f>HYPERLINK("https://lsnyc.legalserver.org/matter/dynamic-profile/view/1890861","19-1890861")</f>
        <v>0</v>
      </c>
      <c r="B337" t="s">
        <v>34</v>
      </c>
      <c r="C337" t="s">
        <v>57</v>
      </c>
      <c r="D337" t="s">
        <v>355</v>
      </c>
      <c r="E337" t="s">
        <v>891</v>
      </c>
      <c r="F337">
        <v>2093</v>
      </c>
      <c r="G337" t="s">
        <v>1221</v>
      </c>
      <c r="I337" t="s">
        <v>1298</v>
      </c>
      <c r="J337">
        <v>1</v>
      </c>
      <c r="K337">
        <v>0</v>
      </c>
      <c r="L337">
        <v>1</v>
      </c>
      <c r="M337" t="s">
        <v>1302</v>
      </c>
      <c r="N337">
        <v>49200</v>
      </c>
      <c r="O337">
        <v>11434</v>
      </c>
      <c r="P337" t="s">
        <v>1308</v>
      </c>
      <c r="Q337" t="s">
        <v>1324</v>
      </c>
      <c r="S337" t="s">
        <v>1332</v>
      </c>
      <c r="T337" t="s">
        <v>1333</v>
      </c>
      <c r="W337" t="s">
        <v>1361</v>
      </c>
      <c r="AA337">
        <v>0</v>
      </c>
      <c r="AB337">
        <v>0</v>
      </c>
      <c r="AD337">
        <v>0</v>
      </c>
      <c r="AE337">
        <v>0</v>
      </c>
      <c r="AF337">
        <v>0</v>
      </c>
      <c r="AG337">
        <v>0</v>
      </c>
    </row>
    <row r="338" spans="1:33">
      <c r="A338" s="1">
        <f>HYPERLINK("https://lsnyc.legalserver.org/matter/dynamic-profile/view/1890874","19-1890874")</f>
        <v>0</v>
      </c>
      <c r="B338" t="s">
        <v>36</v>
      </c>
      <c r="C338" t="s">
        <v>41</v>
      </c>
      <c r="D338" t="s">
        <v>356</v>
      </c>
      <c r="E338" t="s">
        <v>892</v>
      </c>
      <c r="F338">
        <v>2094</v>
      </c>
      <c r="G338" t="s">
        <v>1263</v>
      </c>
      <c r="I338" t="s">
        <v>1298</v>
      </c>
      <c r="J338">
        <v>3</v>
      </c>
      <c r="K338">
        <v>1</v>
      </c>
      <c r="L338">
        <v>1</v>
      </c>
      <c r="M338" t="s">
        <v>1302</v>
      </c>
      <c r="N338">
        <v>89559.60000000001</v>
      </c>
      <c r="O338">
        <v>10469</v>
      </c>
      <c r="P338" t="s">
        <v>1310</v>
      </c>
      <c r="Q338" t="s">
        <v>1315</v>
      </c>
      <c r="S338" t="s">
        <v>1336</v>
      </c>
      <c r="W338" t="s">
        <v>1366</v>
      </c>
      <c r="AA338">
        <v>0</v>
      </c>
      <c r="AB338">
        <v>0</v>
      </c>
      <c r="AD338">
        <v>0</v>
      </c>
      <c r="AE338">
        <v>0</v>
      </c>
      <c r="AF338">
        <v>0</v>
      </c>
      <c r="AG338">
        <v>0</v>
      </c>
    </row>
    <row r="339" spans="1:33">
      <c r="A339" s="1">
        <f>HYPERLINK("https://lsnyc.legalserver.org/matter/dynamic-profile/view/1890920","19-1890920")</f>
        <v>0</v>
      </c>
      <c r="B339" t="s">
        <v>36</v>
      </c>
      <c r="C339" t="s">
        <v>58</v>
      </c>
      <c r="D339" t="s">
        <v>79</v>
      </c>
      <c r="E339" t="s">
        <v>893</v>
      </c>
      <c r="F339">
        <v>2094</v>
      </c>
      <c r="G339" t="s">
        <v>1225</v>
      </c>
      <c r="I339" t="s">
        <v>1298</v>
      </c>
      <c r="J339">
        <v>6</v>
      </c>
      <c r="K339">
        <v>0</v>
      </c>
      <c r="L339">
        <v>0</v>
      </c>
      <c r="M339" t="s">
        <v>1301</v>
      </c>
      <c r="N339">
        <v>99851.7</v>
      </c>
      <c r="O339">
        <v>10463</v>
      </c>
      <c r="P339" t="s">
        <v>1310</v>
      </c>
      <c r="Q339" t="s">
        <v>1314</v>
      </c>
      <c r="S339" t="s">
        <v>1332</v>
      </c>
      <c r="W339" t="s">
        <v>1361</v>
      </c>
      <c r="AA339">
        <v>0</v>
      </c>
      <c r="AB339">
        <v>0</v>
      </c>
      <c r="AD339">
        <v>0</v>
      </c>
      <c r="AE339">
        <v>0</v>
      </c>
      <c r="AF339">
        <v>0</v>
      </c>
      <c r="AG339">
        <v>0</v>
      </c>
    </row>
    <row r="340" spans="1:33">
      <c r="A340" s="1">
        <f>HYPERLINK("https://lsnyc.legalserver.org/matter/dynamic-profile/view/1891927","19-1891927")</f>
        <v>0</v>
      </c>
      <c r="B340" t="s">
        <v>34</v>
      </c>
      <c r="C340" t="s">
        <v>44</v>
      </c>
      <c r="D340" t="s">
        <v>357</v>
      </c>
      <c r="E340" t="s">
        <v>894</v>
      </c>
      <c r="F340">
        <v>2093</v>
      </c>
      <c r="I340" t="s">
        <v>1298</v>
      </c>
      <c r="J340">
        <v>2</v>
      </c>
      <c r="K340">
        <v>0</v>
      </c>
      <c r="L340">
        <v>0</v>
      </c>
      <c r="N340">
        <v>22800</v>
      </c>
      <c r="O340">
        <v>11434</v>
      </c>
      <c r="P340" t="s">
        <v>1308</v>
      </c>
      <c r="Q340" t="s">
        <v>1324</v>
      </c>
      <c r="S340" t="s">
        <v>1339</v>
      </c>
      <c r="T340" t="s">
        <v>1334</v>
      </c>
      <c r="W340" t="s">
        <v>1366</v>
      </c>
      <c r="Y340" t="s">
        <v>1376</v>
      </c>
      <c r="AA340">
        <v>0</v>
      </c>
      <c r="AB340">
        <v>0</v>
      </c>
      <c r="AD340">
        <v>0</v>
      </c>
      <c r="AE340">
        <v>0</v>
      </c>
      <c r="AF340">
        <v>0</v>
      </c>
      <c r="AG340">
        <v>0</v>
      </c>
    </row>
    <row r="341" spans="1:33">
      <c r="A341" s="1">
        <f>HYPERLINK("https://lsnyc.legalserver.org/matter/dynamic-profile/view/1890989","19-1890989")</f>
        <v>0</v>
      </c>
      <c r="B341" t="s">
        <v>35</v>
      </c>
      <c r="C341" t="s">
        <v>61</v>
      </c>
      <c r="D341" t="s">
        <v>358</v>
      </c>
      <c r="E341" t="s">
        <v>895</v>
      </c>
      <c r="F341">
        <v>2091</v>
      </c>
      <c r="I341" t="s">
        <v>1298</v>
      </c>
      <c r="J341">
        <v>1</v>
      </c>
      <c r="K341">
        <v>0</v>
      </c>
      <c r="L341">
        <v>0</v>
      </c>
      <c r="N341">
        <v>76200</v>
      </c>
      <c r="O341">
        <v>11208</v>
      </c>
      <c r="P341" t="s">
        <v>1309</v>
      </c>
      <c r="Q341" t="s">
        <v>1321</v>
      </c>
      <c r="R341" t="s">
        <v>1325</v>
      </c>
      <c r="S341" t="s">
        <v>1333</v>
      </c>
      <c r="T341" t="s">
        <v>1340</v>
      </c>
      <c r="AA341">
        <v>0</v>
      </c>
      <c r="AB341">
        <v>0</v>
      </c>
      <c r="AD341">
        <v>0</v>
      </c>
      <c r="AE341">
        <v>0</v>
      </c>
      <c r="AF341">
        <v>0</v>
      </c>
      <c r="AG341">
        <v>0</v>
      </c>
    </row>
    <row r="342" spans="1:33">
      <c r="A342" s="1">
        <f>HYPERLINK("https://lsnyc.legalserver.org/matter/dynamic-profile/view/1891383","19-1891383")</f>
        <v>0</v>
      </c>
      <c r="B342" t="s">
        <v>33</v>
      </c>
      <c r="C342" t="s">
        <v>63</v>
      </c>
      <c r="D342" t="s">
        <v>359</v>
      </c>
      <c r="E342" t="s">
        <v>803</v>
      </c>
      <c r="F342">
        <v>2090</v>
      </c>
      <c r="G342" t="s">
        <v>1191</v>
      </c>
      <c r="I342" t="s">
        <v>1298</v>
      </c>
      <c r="J342">
        <v>2</v>
      </c>
      <c r="K342">
        <v>2</v>
      </c>
      <c r="L342">
        <v>0</v>
      </c>
      <c r="N342">
        <v>50900</v>
      </c>
      <c r="O342">
        <v>10304</v>
      </c>
      <c r="P342" t="s">
        <v>1307</v>
      </c>
      <c r="Q342" t="s">
        <v>1324</v>
      </c>
      <c r="S342" t="s">
        <v>1336</v>
      </c>
      <c r="W342" t="s">
        <v>1366</v>
      </c>
      <c r="AA342">
        <v>0</v>
      </c>
      <c r="AB342">
        <v>0</v>
      </c>
      <c r="AD342">
        <v>0</v>
      </c>
      <c r="AE342">
        <v>0</v>
      </c>
      <c r="AF342">
        <v>0</v>
      </c>
      <c r="AG342">
        <v>0</v>
      </c>
    </row>
    <row r="343" spans="1:33">
      <c r="A343" s="1">
        <f>HYPERLINK("https://lsnyc.legalserver.org/matter/dynamic-profile/view/1893789","19-1893789")</f>
        <v>0</v>
      </c>
      <c r="B343" t="s">
        <v>36</v>
      </c>
      <c r="C343" t="s">
        <v>41</v>
      </c>
      <c r="D343" t="s">
        <v>360</v>
      </c>
      <c r="E343" t="s">
        <v>896</v>
      </c>
      <c r="F343">
        <v>2094</v>
      </c>
      <c r="I343" t="s">
        <v>1298</v>
      </c>
      <c r="J343">
        <v>3</v>
      </c>
      <c r="K343">
        <v>0</v>
      </c>
      <c r="L343">
        <v>0</v>
      </c>
      <c r="M343" t="s">
        <v>1301</v>
      </c>
      <c r="N343">
        <v>140000</v>
      </c>
      <c r="O343">
        <v>10030</v>
      </c>
      <c r="P343" t="s">
        <v>1311</v>
      </c>
      <c r="Q343" t="s">
        <v>1315</v>
      </c>
      <c r="R343" t="s">
        <v>1319</v>
      </c>
      <c r="S343" t="s">
        <v>1333</v>
      </c>
      <c r="T343" t="s">
        <v>1340</v>
      </c>
      <c r="W343" t="s">
        <v>1360</v>
      </c>
      <c r="Y343" t="s">
        <v>1380</v>
      </c>
      <c r="AA343">
        <v>0</v>
      </c>
      <c r="AB343">
        <v>0</v>
      </c>
      <c r="AD343">
        <v>0</v>
      </c>
      <c r="AE343">
        <v>0</v>
      </c>
      <c r="AF343">
        <v>0</v>
      </c>
      <c r="AG343">
        <v>0</v>
      </c>
    </row>
    <row r="344" spans="1:33">
      <c r="A344" s="1">
        <f>HYPERLINK("https://lsnyc.legalserver.org/matter/dynamic-profile/view/1894089","19-1894089")</f>
        <v>0</v>
      </c>
      <c r="B344" t="s">
        <v>35</v>
      </c>
      <c r="C344" t="s">
        <v>51</v>
      </c>
      <c r="D344" t="s">
        <v>281</v>
      </c>
      <c r="E344" t="s">
        <v>897</v>
      </c>
      <c r="F344">
        <v>2091</v>
      </c>
      <c r="G344" t="s">
        <v>1264</v>
      </c>
      <c r="I344" t="s">
        <v>1298</v>
      </c>
      <c r="J344">
        <v>2</v>
      </c>
      <c r="K344">
        <v>4</v>
      </c>
      <c r="L344">
        <v>1</v>
      </c>
      <c r="M344" t="s">
        <v>1302</v>
      </c>
      <c r="N344">
        <v>65400</v>
      </c>
      <c r="O344">
        <v>11207</v>
      </c>
      <c r="P344" t="s">
        <v>1309</v>
      </c>
      <c r="Q344" t="s">
        <v>1329</v>
      </c>
      <c r="S344" t="s">
        <v>1338</v>
      </c>
      <c r="W344" t="s">
        <v>1361</v>
      </c>
      <c r="Y344" t="s">
        <v>1366</v>
      </c>
      <c r="AA344">
        <v>0</v>
      </c>
      <c r="AB344">
        <v>0</v>
      </c>
      <c r="AD344">
        <v>0</v>
      </c>
      <c r="AE344">
        <v>0</v>
      </c>
      <c r="AF344">
        <v>0</v>
      </c>
      <c r="AG344">
        <v>0</v>
      </c>
    </row>
    <row r="345" spans="1:33">
      <c r="A345" s="1">
        <f>HYPERLINK("https://lsnyc.legalserver.org/matter/dynamic-profile/view/1894117","19-1894117")</f>
        <v>0</v>
      </c>
      <c r="B345" t="s">
        <v>34</v>
      </c>
      <c r="C345" t="s">
        <v>57</v>
      </c>
      <c r="D345" t="s">
        <v>108</v>
      </c>
      <c r="E345" t="s">
        <v>614</v>
      </c>
      <c r="F345">
        <v>2093</v>
      </c>
      <c r="G345" t="s">
        <v>1180</v>
      </c>
      <c r="I345" t="s">
        <v>1298</v>
      </c>
      <c r="J345">
        <v>1</v>
      </c>
      <c r="K345">
        <v>1</v>
      </c>
      <c r="L345">
        <v>0</v>
      </c>
      <c r="M345" t="s">
        <v>1301</v>
      </c>
      <c r="N345">
        <v>104760</v>
      </c>
      <c r="O345">
        <v>11434</v>
      </c>
      <c r="P345" t="s">
        <v>1308</v>
      </c>
      <c r="Q345" t="s">
        <v>1319</v>
      </c>
      <c r="S345" t="s">
        <v>1338</v>
      </c>
      <c r="AA345">
        <v>0</v>
      </c>
      <c r="AB345">
        <v>0</v>
      </c>
      <c r="AD345">
        <v>0</v>
      </c>
      <c r="AE345">
        <v>0</v>
      </c>
      <c r="AF345">
        <v>0</v>
      </c>
      <c r="AG345">
        <v>0</v>
      </c>
    </row>
    <row r="346" spans="1:33">
      <c r="A346" s="1">
        <f>HYPERLINK("https://lsnyc.legalserver.org/matter/dynamic-profile/view/1894696","19-1894696")</f>
        <v>0</v>
      </c>
      <c r="B346" t="s">
        <v>34</v>
      </c>
      <c r="C346" t="s">
        <v>65</v>
      </c>
      <c r="D346" t="s">
        <v>361</v>
      </c>
      <c r="E346" t="s">
        <v>898</v>
      </c>
      <c r="F346">
        <v>2093</v>
      </c>
      <c r="G346" t="s">
        <v>1265</v>
      </c>
      <c r="I346" t="s">
        <v>1298</v>
      </c>
      <c r="J346">
        <v>1</v>
      </c>
      <c r="K346">
        <v>0</v>
      </c>
      <c r="L346">
        <v>0</v>
      </c>
      <c r="M346" t="s">
        <v>1301</v>
      </c>
      <c r="N346">
        <v>60000</v>
      </c>
      <c r="O346">
        <v>11412</v>
      </c>
      <c r="P346" t="s">
        <v>1308</v>
      </c>
      <c r="Q346" t="s">
        <v>1331</v>
      </c>
      <c r="S346" t="s">
        <v>1332</v>
      </c>
      <c r="T346" t="s">
        <v>1337</v>
      </c>
      <c r="W346" t="s">
        <v>1361</v>
      </c>
      <c r="Y346" t="s">
        <v>1366</v>
      </c>
      <c r="AA346">
        <v>0</v>
      </c>
      <c r="AB346">
        <v>0</v>
      </c>
      <c r="AD346">
        <v>0</v>
      </c>
      <c r="AE346">
        <v>0</v>
      </c>
      <c r="AF346">
        <v>0</v>
      </c>
      <c r="AG346">
        <v>0</v>
      </c>
    </row>
    <row r="347" spans="1:33">
      <c r="A347" s="1">
        <f>HYPERLINK("https://lsnyc.legalserver.org/matter/dynamic-profile/view/1894217","19-1894217")</f>
        <v>0</v>
      </c>
      <c r="B347" t="s">
        <v>35</v>
      </c>
      <c r="C347" t="s">
        <v>40</v>
      </c>
      <c r="D347" t="s">
        <v>362</v>
      </c>
      <c r="E347" t="s">
        <v>647</v>
      </c>
      <c r="F347">
        <v>2091</v>
      </c>
      <c r="G347" t="s">
        <v>1231</v>
      </c>
      <c r="I347" t="s">
        <v>1298</v>
      </c>
      <c r="J347">
        <v>1</v>
      </c>
      <c r="K347">
        <v>0</v>
      </c>
      <c r="L347">
        <v>1</v>
      </c>
      <c r="M347" t="s">
        <v>1302</v>
      </c>
      <c r="N347">
        <v>52400</v>
      </c>
      <c r="O347">
        <v>11226</v>
      </c>
      <c r="P347" t="s">
        <v>1309</v>
      </c>
      <c r="Q347" t="s">
        <v>1315</v>
      </c>
      <c r="S347" t="s">
        <v>1337</v>
      </c>
      <c r="W347" t="s">
        <v>1381</v>
      </c>
      <c r="Y347" t="s">
        <v>1366</v>
      </c>
      <c r="AA347">
        <v>0</v>
      </c>
      <c r="AB347">
        <v>0</v>
      </c>
      <c r="AD347">
        <v>0</v>
      </c>
      <c r="AE347">
        <v>0</v>
      </c>
      <c r="AF347">
        <v>0</v>
      </c>
      <c r="AG347">
        <v>0</v>
      </c>
    </row>
    <row r="348" spans="1:33">
      <c r="A348" s="1">
        <f>HYPERLINK("https://lsnyc.legalserver.org/matter/dynamic-profile/view/1895246","19-1895246")</f>
        <v>0</v>
      </c>
      <c r="B348" t="s">
        <v>34</v>
      </c>
      <c r="C348" t="s">
        <v>42</v>
      </c>
      <c r="D348" t="s">
        <v>103</v>
      </c>
      <c r="E348" t="s">
        <v>633</v>
      </c>
      <c r="F348">
        <v>2093</v>
      </c>
      <c r="G348" t="s">
        <v>1221</v>
      </c>
      <c r="I348" t="s">
        <v>1298</v>
      </c>
      <c r="J348">
        <v>1</v>
      </c>
      <c r="K348">
        <v>0</v>
      </c>
      <c r="L348">
        <v>1</v>
      </c>
      <c r="M348" t="s">
        <v>1304</v>
      </c>
      <c r="N348">
        <v>37776</v>
      </c>
      <c r="O348">
        <v>11692</v>
      </c>
      <c r="P348" t="s">
        <v>1308</v>
      </c>
      <c r="Q348" t="s">
        <v>1323</v>
      </c>
      <c r="S348" t="s">
        <v>1334</v>
      </c>
      <c r="AA348">
        <v>0</v>
      </c>
      <c r="AB348">
        <v>0</v>
      </c>
      <c r="AD348">
        <v>0</v>
      </c>
      <c r="AE348">
        <v>0</v>
      </c>
      <c r="AF348">
        <v>0</v>
      </c>
      <c r="AG348">
        <v>0</v>
      </c>
    </row>
    <row r="349" spans="1:33">
      <c r="A349" s="1">
        <f>HYPERLINK("https://lsnyc.legalserver.org/matter/dynamic-profile/view/1896941","19-1896941")</f>
        <v>0</v>
      </c>
      <c r="B349" t="s">
        <v>34</v>
      </c>
      <c r="C349" t="s">
        <v>65</v>
      </c>
      <c r="D349" t="s">
        <v>363</v>
      </c>
      <c r="E349" t="s">
        <v>619</v>
      </c>
      <c r="F349">
        <v>2093</v>
      </c>
      <c r="G349" t="s">
        <v>1215</v>
      </c>
      <c r="I349" t="s">
        <v>1298</v>
      </c>
      <c r="J349">
        <v>3</v>
      </c>
      <c r="K349">
        <v>2</v>
      </c>
      <c r="L349">
        <v>1</v>
      </c>
      <c r="M349" t="s">
        <v>1301</v>
      </c>
      <c r="N349">
        <v>106660.6</v>
      </c>
      <c r="O349">
        <v>11434</v>
      </c>
      <c r="P349" t="s">
        <v>1308</v>
      </c>
      <c r="Q349" t="s">
        <v>1316</v>
      </c>
      <c r="S349" t="s">
        <v>1333</v>
      </c>
      <c r="AA349">
        <v>0</v>
      </c>
      <c r="AB349">
        <v>0</v>
      </c>
      <c r="AD349">
        <v>0</v>
      </c>
      <c r="AE349">
        <v>0</v>
      </c>
      <c r="AF349">
        <v>0</v>
      </c>
      <c r="AG349">
        <v>0</v>
      </c>
    </row>
    <row r="350" spans="1:33">
      <c r="A350" s="1">
        <f>HYPERLINK("https://lsnyc.legalserver.org/matter/dynamic-profile/view/1897553","19-1897553")</f>
        <v>0</v>
      </c>
      <c r="B350" t="s">
        <v>33</v>
      </c>
      <c r="C350" t="s">
        <v>53</v>
      </c>
      <c r="D350" t="s">
        <v>364</v>
      </c>
      <c r="E350" t="s">
        <v>899</v>
      </c>
      <c r="F350">
        <v>2090</v>
      </c>
      <c r="I350" t="s">
        <v>1298</v>
      </c>
      <c r="J350">
        <v>4</v>
      </c>
      <c r="K350">
        <v>0</v>
      </c>
      <c r="L350">
        <v>0</v>
      </c>
      <c r="N350">
        <v>75000</v>
      </c>
      <c r="O350">
        <v>10312</v>
      </c>
      <c r="P350" t="s">
        <v>1307</v>
      </c>
      <c r="Q350" t="s">
        <v>1317</v>
      </c>
      <c r="S350" t="s">
        <v>1338</v>
      </c>
      <c r="W350" t="s">
        <v>1366</v>
      </c>
      <c r="AA350">
        <v>0</v>
      </c>
      <c r="AB350">
        <v>0</v>
      </c>
      <c r="AD350">
        <v>0</v>
      </c>
      <c r="AE350">
        <v>0</v>
      </c>
      <c r="AF350">
        <v>0</v>
      </c>
      <c r="AG350">
        <v>0</v>
      </c>
    </row>
    <row r="351" spans="1:33">
      <c r="A351" s="1">
        <f>HYPERLINK("https://lsnyc.legalserver.org/matter/dynamic-profile/view/1898094","19-1898094")</f>
        <v>0</v>
      </c>
      <c r="B351" t="s">
        <v>34</v>
      </c>
      <c r="C351" t="s">
        <v>65</v>
      </c>
      <c r="D351" t="s">
        <v>365</v>
      </c>
      <c r="E351" t="s">
        <v>900</v>
      </c>
      <c r="F351">
        <v>2093</v>
      </c>
      <c r="I351" t="s">
        <v>1298</v>
      </c>
      <c r="J351">
        <v>2</v>
      </c>
      <c r="K351">
        <v>5</v>
      </c>
      <c r="L351">
        <v>1</v>
      </c>
      <c r="N351">
        <v>106000</v>
      </c>
      <c r="O351">
        <v>11413</v>
      </c>
      <c r="P351" t="s">
        <v>1308</v>
      </c>
      <c r="Q351" t="s">
        <v>1314</v>
      </c>
      <c r="S351" t="s">
        <v>1333</v>
      </c>
      <c r="T351" t="s">
        <v>1340</v>
      </c>
      <c r="W351" t="s">
        <v>1361</v>
      </c>
      <c r="Y351" t="s">
        <v>1366</v>
      </c>
      <c r="AA351">
        <v>0</v>
      </c>
      <c r="AB351">
        <v>0</v>
      </c>
      <c r="AD351">
        <v>0</v>
      </c>
      <c r="AE351">
        <v>0</v>
      </c>
      <c r="AF351">
        <v>0</v>
      </c>
      <c r="AG351">
        <v>0</v>
      </c>
    </row>
    <row r="352" spans="1:33">
      <c r="A352" s="1">
        <f>HYPERLINK("https://lsnyc.legalserver.org/matter/dynamic-profile/view/1897077","19-1897077")</f>
        <v>0</v>
      </c>
      <c r="B352" t="s">
        <v>33</v>
      </c>
      <c r="C352" t="s">
        <v>63</v>
      </c>
      <c r="D352" t="s">
        <v>366</v>
      </c>
      <c r="E352" t="s">
        <v>901</v>
      </c>
      <c r="F352">
        <v>2090</v>
      </c>
      <c r="G352" t="s">
        <v>1266</v>
      </c>
      <c r="I352" t="s">
        <v>1298</v>
      </c>
      <c r="J352">
        <v>4</v>
      </c>
      <c r="K352">
        <v>3</v>
      </c>
      <c r="L352">
        <v>0</v>
      </c>
      <c r="M352" t="s">
        <v>1302</v>
      </c>
      <c r="N352">
        <v>172400</v>
      </c>
      <c r="O352">
        <v>10303</v>
      </c>
      <c r="P352" t="s">
        <v>1307</v>
      </c>
      <c r="Q352" t="s">
        <v>1324</v>
      </c>
      <c r="S352" t="s">
        <v>1334</v>
      </c>
      <c r="T352" t="s">
        <v>1339</v>
      </c>
      <c r="W352" t="s">
        <v>1361</v>
      </c>
      <c r="Y352" t="s">
        <v>1366</v>
      </c>
      <c r="AA352">
        <v>0</v>
      </c>
      <c r="AB352">
        <v>0</v>
      </c>
      <c r="AD352">
        <v>0</v>
      </c>
      <c r="AE352">
        <v>0</v>
      </c>
      <c r="AF352">
        <v>0</v>
      </c>
      <c r="AG352">
        <v>0</v>
      </c>
    </row>
    <row r="353" spans="1:33">
      <c r="A353" s="1">
        <f>HYPERLINK("https://lsnyc.legalserver.org/matter/dynamic-profile/view/1899320","19-1899320")</f>
        <v>0</v>
      </c>
      <c r="B353" t="s">
        <v>36</v>
      </c>
      <c r="C353" t="s">
        <v>52</v>
      </c>
      <c r="D353" t="s">
        <v>157</v>
      </c>
      <c r="E353" t="s">
        <v>902</v>
      </c>
      <c r="F353">
        <v>2094</v>
      </c>
      <c r="G353" t="s">
        <v>1267</v>
      </c>
      <c r="I353" t="s">
        <v>1298</v>
      </c>
      <c r="J353">
        <v>1</v>
      </c>
      <c r="K353">
        <v>0</v>
      </c>
      <c r="L353">
        <v>1</v>
      </c>
      <c r="M353" t="s">
        <v>1301</v>
      </c>
      <c r="N353">
        <v>47476</v>
      </c>
      <c r="O353">
        <v>10469</v>
      </c>
      <c r="P353" t="s">
        <v>1310</v>
      </c>
      <c r="Q353" t="s">
        <v>1315</v>
      </c>
      <c r="S353" t="s">
        <v>1338</v>
      </c>
      <c r="T353" t="s">
        <v>1334</v>
      </c>
      <c r="W353" t="s">
        <v>1373</v>
      </c>
      <c r="Y353" t="s">
        <v>1362</v>
      </c>
      <c r="AA353">
        <v>0</v>
      </c>
      <c r="AB353">
        <v>0</v>
      </c>
      <c r="AD353">
        <v>0</v>
      </c>
      <c r="AE353">
        <v>0</v>
      </c>
      <c r="AF353">
        <v>0</v>
      </c>
      <c r="AG353">
        <v>0</v>
      </c>
    </row>
    <row r="354" spans="1:33">
      <c r="A354" s="1">
        <f>HYPERLINK("https://lsnyc.legalserver.org/matter/dynamic-profile/view/1900170","19-1900170")</f>
        <v>0</v>
      </c>
      <c r="B354" t="s">
        <v>33</v>
      </c>
      <c r="C354" t="s">
        <v>53</v>
      </c>
      <c r="D354" t="s">
        <v>367</v>
      </c>
      <c r="E354" t="s">
        <v>903</v>
      </c>
      <c r="F354">
        <v>2090</v>
      </c>
      <c r="G354" t="s">
        <v>1230</v>
      </c>
      <c r="I354" t="s">
        <v>1298</v>
      </c>
      <c r="J354">
        <v>2</v>
      </c>
      <c r="K354">
        <v>3</v>
      </c>
      <c r="L354">
        <v>0</v>
      </c>
      <c r="M354" t="s">
        <v>1301</v>
      </c>
      <c r="N354">
        <v>24000</v>
      </c>
      <c r="O354">
        <v>10303</v>
      </c>
      <c r="P354" t="s">
        <v>1307</v>
      </c>
      <c r="Q354" t="s">
        <v>1315</v>
      </c>
      <c r="R354" t="s">
        <v>1320</v>
      </c>
      <c r="S354" t="s">
        <v>1332</v>
      </c>
      <c r="T354" t="s">
        <v>1340</v>
      </c>
      <c r="W354" t="s">
        <v>1361</v>
      </c>
      <c r="AA354">
        <v>0</v>
      </c>
      <c r="AB354">
        <v>0</v>
      </c>
      <c r="AD354">
        <v>0</v>
      </c>
      <c r="AE354">
        <v>0</v>
      </c>
      <c r="AF354">
        <v>0</v>
      </c>
      <c r="AG354">
        <v>0</v>
      </c>
    </row>
    <row r="355" spans="1:33">
      <c r="A355" s="1">
        <f>HYPERLINK("https://lsnyc.legalserver.org/matter/dynamic-profile/view/1901064","19-1901064")</f>
        <v>0</v>
      </c>
      <c r="B355" t="s">
        <v>34</v>
      </c>
      <c r="C355" t="s">
        <v>49</v>
      </c>
      <c r="D355" t="s">
        <v>368</v>
      </c>
      <c r="E355" t="s">
        <v>904</v>
      </c>
      <c r="F355">
        <v>2093</v>
      </c>
      <c r="G355" t="s">
        <v>1221</v>
      </c>
      <c r="I355" t="s">
        <v>1298</v>
      </c>
      <c r="J355">
        <v>1</v>
      </c>
      <c r="K355">
        <v>0</v>
      </c>
      <c r="L355">
        <v>1</v>
      </c>
      <c r="M355" t="s">
        <v>1301</v>
      </c>
      <c r="N355">
        <v>8496</v>
      </c>
      <c r="O355">
        <v>11434</v>
      </c>
      <c r="P355" t="s">
        <v>1308</v>
      </c>
      <c r="Q355" t="s">
        <v>1316</v>
      </c>
      <c r="S355" t="s">
        <v>1336</v>
      </c>
      <c r="AA355">
        <v>0</v>
      </c>
      <c r="AB355">
        <v>0</v>
      </c>
      <c r="AD355">
        <v>0</v>
      </c>
      <c r="AE355">
        <v>0</v>
      </c>
      <c r="AF355">
        <v>0</v>
      </c>
      <c r="AG355">
        <v>0</v>
      </c>
    </row>
    <row r="356" spans="1:33">
      <c r="A356" s="1">
        <f>HYPERLINK("https://lsnyc.legalserver.org/matter/dynamic-profile/view/1901075","19-1901075")</f>
        <v>0</v>
      </c>
      <c r="B356" t="s">
        <v>36</v>
      </c>
      <c r="C356" t="s">
        <v>59</v>
      </c>
      <c r="D356" t="s">
        <v>369</v>
      </c>
      <c r="E356" t="s">
        <v>795</v>
      </c>
      <c r="F356">
        <v>2094</v>
      </c>
      <c r="G356" t="s">
        <v>1268</v>
      </c>
      <c r="I356" t="s">
        <v>1298</v>
      </c>
      <c r="J356">
        <v>2</v>
      </c>
      <c r="K356">
        <v>0</v>
      </c>
      <c r="L356">
        <v>1</v>
      </c>
      <c r="M356" t="s">
        <v>1303</v>
      </c>
      <c r="N356">
        <v>15696</v>
      </c>
      <c r="O356">
        <v>10462</v>
      </c>
      <c r="P356" t="s">
        <v>1310</v>
      </c>
      <c r="Q356" t="s">
        <v>1314</v>
      </c>
      <c r="S356" t="s">
        <v>1337</v>
      </c>
      <c r="W356" t="s">
        <v>1366</v>
      </c>
      <c r="AA356">
        <v>0</v>
      </c>
      <c r="AB356">
        <v>0</v>
      </c>
      <c r="AD356">
        <v>0</v>
      </c>
      <c r="AE356">
        <v>0</v>
      </c>
      <c r="AF356">
        <v>0</v>
      </c>
      <c r="AG356">
        <v>0</v>
      </c>
    </row>
    <row r="357" spans="1:33">
      <c r="A357" s="1">
        <f>HYPERLINK("https://lsnyc.legalserver.org/matter/dynamic-profile/view/1901138","19-1901138")</f>
        <v>0</v>
      </c>
      <c r="B357" t="s">
        <v>36</v>
      </c>
      <c r="C357" t="s">
        <v>59</v>
      </c>
      <c r="D357" t="s">
        <v>370</v>
      </c>
      <c r="E357" t="s">
        <v>905</v>
      </c>
      <c r="F357">
        <v>2094</v>
      </c>
      <c r="G357" t="s">
        <v>1237</v>
      </c>
      <c r="I357" t="s">
        <v>1298</v>
      </c>
      <c r="J357">
        <v>2</v>
      </c>
      <c r="K357">
        <v>0</v>
      </c>
      <c r="L357">
        <v>0</v>
      </c>
      <c r="M357" t="s">
        <v>1302</v>
      </c>
      <c r="N357">
        <v>135200</v>
      </c>
      <c r="O357">
        <v>10466</v>
      </c>
      <c r="P357" t="s">
        <v>1310</v>
      </c>
      <c r="Q357" t="s">
        <v>1321</v>
      </c>
      <c r="R357" t="s">
        <v>1331</v>
      </c>
      <c r="S357" t="s">
        <v>1333</v>
      </c>
      <c r="T357" t="s">
        <v>1340</v>
      </c>
      <c r="W357" t="s">
        <v>1366</v>
      </c>
      <c r="Y357" t="s">
        <v>1361</v>
      </c>
      <c r="AA357">
        <v>0</v>
      </c>
      <c r="AB357">
        <v>0</v>
      </c>
      <c r="AD357">
        <v>0</v>
      </c>
      <c r="AE357">
        <v>0</v>
      </c>
      <c r="AF357">
        <v>0</v>
      </c>
      <c r="AG357">
        <v>0</v>
      </c>
    </row>
    <row r="358" spans="1:33">
      <c r="A358" s="1">
        <f>HYPERLINK("https://lsnyc.legalserver.org/matter/dynamic-profile/view/1901644","19-1901644")</f>
        <v>0</v>
      </c>
      <c r="B358" t="s">
        <v>34</v>
      </c>
      <c r="C358" t="s">
        <v>49</v>
      </c>
      <c r="D358" t="s">
        <v>371</v>
      </c>
      <c r="E358" t="s">
        <v>880</v>
      </c>
      <c r="F358">
        <v>2093</v>
      </c>
      <c r="G358" t="s">
        <v>1180</v>
      </c>
      <c r="I358" t="s">
        <v>1298</v>
      </c>
      <c r="J358">
        <v>2</v>
      </c>
      <c r="K358">
        <v>1</v>
      </c>
      <c r="L358">
        <v>1</v>
      </c>
      <c r="M358" t="s">
        <v>1301</v>
      </c>
      <c r="N358">
        <v>64644</v>
      </c>
      <c r="O358">
        <v>11691</v>
      </c>
      <c r="P358" t="s">
        <v>1308</v>
      </c>
      <c r="Q358" t="s">
        <v>1319</v>
      </c>
      <c r="S358" t="s">
        <v>1332</v>
      </c>
      <c r="T358" t="s">
        <v>1336</v>
      </c>
      <c r="AA358">
        <v>0</v>
      </c>
      <c r="AB358">
        <v>0</v>
      </c>
      <c r="AD358">
        <v>0</v>
      </c>
      <c r="AE358">
        <v>0</v>
      </c>
      <c r="AF358">
        <v>0</v>
      </c>
      <c r="AG358">
        <v>0</v>
      </c>
    </row>
    <row r="359" spans="1:33">
      <c r="A359" s="1">
        <f>HYPERLINK("https://lsnyc.legalserver.org/matter/dynamic-profile/view/1900882","19-1900882")</f>
        <v>0</v>
      </c>
      <c r="B359" t="s">
        <v>35</v>
      </c>
      <c r="C359" t="s">
        <v>55</v>
      </c>
      <c r="D359" t="s">
        <v>372</v>
      </c>
      <c r="E359" t="s">
        <v>906</v>
      </c>
      <c r="F359">
        <v>2091</v>
      </c>
      <c r="G359" t="s">
        <v>1206</v>
      </c>
      <c r="I359" t="s">
        <v>1298</v>
      </c>
      <c r="J359">
        <v>2</v>
      </c>
      <c r="K359">
        <v>0</v>
      </c>
      <c r="L359">
        <v>0</v>
      </c>
      <c r="M359" t="s">
        <v>1302</v>
      </c>
      <c r="N359">
        <v>66600</v>
      </c>
      <c r="O359">
        <v>11236</v>
      </c>
      <c r="P359" t="s">
        <v>1309</v>
      </c>
      <c r="Q359" t="s">
        <v>1321</v>
      </c>
      <c r="R359" t="s">
        <v>1319</v>
      </c>
      <c r="S359" t="s">
        <v>1337</v>
      </c>
      <c r="T359" t="s">
        <v>1340</v>
      </c>
      <c r="U359" t="s">
        <v>1355</v>
      </c>
      <c r="W359" t="s">
        <v>1366</v>
      </c>
      <c r="AA359">
        <v>0</v>
      </c>
      <c r="AB359">
        <v>0</v>
      </c>
      <c r="AD359">
        <v>0</v>
      </c>
      <c r="AE359">
        <v>0</v>
      </c>
      <c r="AF359">
        <v>0</v>
      </c>
      <c r="AG359">
        <v>0</v>
      </c>
    </row>
    <row r="360" spans="1:33">
      <c r="A360" s="1">
        <f>HYPERLINK("https://lsnyc.legalserver.org/matter/dynamic-profile/view/1902341","19-1902341")</f>
        <v>0</v>
      </c>
      <c r="B360" t="s">
        <v>36</v>
      </c>
      <c r="C360" t="s">
        <v>41</v>
      </c>
      <c r="D360" t="s">
        <v>212</v>
      </c>
      <c r="E360" t="s">
        <v>547</v>
      </c>
      <c r="F360">
        <v>2094</v>
      </c>
      <c r="G360" t="s">
        <v>1210</v>
      </c>
      <c r="I360" t="s">
        <v>1298</v>
      </c>
      <c r="J360">
        <v>1</v>
      </c>
      <c r="K360">
        <v>2</v>
      </c>
      <c r="L360">
        <v>0</v>
      </c>
      <c r="M360" t="s">
        <v>1303</v>
      </c>
      <c r="N360">
        <v>50000</v>
      </c>
      <c r="O360">
        <v>10462</v>
      </c>
      <c r="P360" t="s">
        <v>1310</v>
      </c>
      <c r="Q360" t="s">
        <v>1320</v>
      </c>
      <c r="R360" t="s">
        <v>1314</v>
      </c>
      <c r="S360" t="s">
        <v>1332</v>
      </c>
      <c r="T360" t="s">
        <v>1336</v>
      </c>
      <c r="W360" t="s">
        <v>1361</v>
      </c>
      <c r="Y360" t="s">
        <v>1366</v>
      </c>
      <c r="AA360">
        <v>0</v>
      </c>
      <c r="AB360">
        <v>0</v>
      </c>
      <c r="AD360">
        <v>0</v>
      </c>
      <c r="AE360">
        <v>0</v>
      </c>
      <c r="AF360">
        <v>0</v>
      </c>
      <c r="AG360">
        <v>0</v>
      </c>
    </row>
    <row r="361" spans="1:33">
      <c r="A361" s="1">
        <f>HYPERLINK("https://lsnyc.legalserver.org/matter/dynamic-profile/view/1902752","19-1902752")</f>
        <v>0</v>
      </c>
      <c r="B361" t="s">
        <v>36</v>
      </c>
      <c r="C361" t="s">
        <v>46</v>
      </c>
      <c r="D361" t="s">
        <v>373</v>
      </c>
      <c r="E361" t="s">
        <v>672</v>
      </c>
      <c r="F361">
        <v>2094</v>
      </c>
      <c r="G361" t="s">
        <v>1212</v>
      </c>
      <c r="I361" t="s">
        <v>1298</v>
      </c>
      <c r="J361">
        <v>1</v>
      </c>
      <c r="K361">
        <v>0</v>
      </c>
      <c r="L361">
        <v>0</v>
      </c>
      <c r="M361" t="s">
        <v>1301</v>
      </c>
      <c r="N361">
        <v>65000</v>
      </c>
      <c r="O361">
        <v>10469</v>
      </c>
      <c r="P361" t="s">
        <v>1310</v>
      </c>
      <c r="Q361" t="s">
        <v>1319</v>
      </c>
      <c r="S361" t="s">
        <v>1339</v>
      </c>
      <c r="W361" t="s">
        <v>1383</v>
      </c>
      <c r="AA361">
        <v>0</v>
      </c>
      <c r="AB361">
        <v>0</v>
      </c>
      <c r="AD361">
        <v>0</v>
      </c>
      <c r="AE361">
        <v>0</v>
      </c>
      <c r="AF361">
        <v>0</v>
      </c>
      <c r="AG361">
        <v>0</v>
      </c>
    </row>
    <row r="362" spans="1:33">
      <c r="A362" s="1">
        <f>HYPERLINK("https://lsnyc.legalserver.org/matter/dynamic-profile/view/1902799","19-1902799")</f>
        <v>0</v>
      </c>
      <c r="B362" t="s">
        <v>34</v>
      </c>
      <c r="C362" t="s">
        <v>49</v>
      </c>
      <c r="D362" t="s">
        <v>374</v>
      </c>
      <c r="E362" t="s">
        <v>907</v>
      </c>
      <c r="F362">
        <v>2093</v>
      </c>
      <c r="G362" t="s">
        <v>1199</v>
      </c>
      <c r="H362" t="s">
        <v>1199</v>
      </c>
      <c r="I362" t="s">
        <v>1298</v>
      </c>
      <c r="J362">
        <v>2</v>
      </c>
      <c r="K362">
        <v>0</v>
      </c>
      <c r="L362">
        <v>0</v>
      </c>
      <c r="M362" t="s">
        <v>1301</v>
      </c>
      <c r="N362">
        <v>26000</v>
      </c>
      <c r="O362">
        <v>11411</v>
      </c>
      <c r="P362" t="s">
        <v>1308</v>
      </c>
      <c r="Q362" t="s">
        <v>1315</v>
      </c>
      <c r="S362" t="s">
        <v>1332</v>
      </c>
      <c r="AA362">
        <v>0</v>
      </c>
      <c r="AB362">
        <v>0</v>
      </c>
      <c r="AD362">
        <v>0</v>
      </c>
      <c r="AE362">
        <v>0</v>
      </c>
      <c r="AF362">
        <v>0</v>
      </c>
      <c r="AG362">
        <v>0</v>
      </c>
    </row>
    <row r="363" spans="1:33">
      <c r="A363" s="1">
        <f>HYPERLINK("https://lsnyc.legalserver.org/matter/dynamic-profile/view/1902874","19-1902874")</f>
        <v>0</v>
      </c>
      <c r="B363" t="s">
        <v>36</v>
      </c>
      <c r="C363" t="s">
        <v>46</v>
      </c>
      <c r="D363" t="s">
        <v>95</v>
      </c>
      <c r="E363" t="s">
        <v>608</v>
      </c>
      <c r="F363">
        <v>2094</v>
      </c>
      <c r="G363" t="s">
        <v>1209</v>
      </c>
      <c r="I363" t="s">
        <v>1298</v>
      </c>
      <c r="J363">
        <v>2</v>
      </c>
      <c r="K363">
        <v>0</v>
      </c>
      <c r="L363">
        <v>1</v>
      </c>
      <c r="M363" t="s">
        <v>1301</v>
      </c>
      <c r="N363">
        <v>52800</v>
      </c>
      <c r="O363">
        <v>10475</v>
      </c>
      <c r="P363" t="s">
        <v>1310</v>
      </c>
      <c r="Q363" t="s">
        <v>1326</v>
      </c>
      <c r="S363" t="s">
        <v>1336</v>
      </c>
      <c r="W363" t="s">
        <v>1366</v>
      </c>
      <c r="AA363">
        <v>0</v>
      </c>
      <c r="AB363">
        <v>0</v>
      </c>
      <c r="AD363">
        <v>0</v>
      </c>
      <c r="AE363">
        <v>0</v>
      </c>
      <c r="AF363">
        <v>0</v>
      </c>
      <c r="AG363">
        <v>0</v>
      </c>
    </row>
    <row r="364" spans="1:33">
      <c r="A364" s="1">
        <f>HYPERLINK("https://lsnyc.legalserver.org/matter/dynamic-profile/view/1902889","19-1902889")</f>
        <v>0</v>
      </c>
      <c r="B364" t="s">
        <v>36</v>
      </c>
      <c r="C364" t="s">
        <v>46</v>
      </c>
      <c r="D364" t="s">
        <v>375</v>
      </c>
      <c r="E364" t="s">
        <v>908</v>
      </c>
      <c r="F364">
        <v>2094</v>
      </c>
      <c r="G364" t="s">
        <v>1179</v>
      </c>
      <c r="I364" t="s">
        <v>1298</v>
      </c>
      <c r="J364">
        <v>4</v>
      </c>
      <c r="K364">
        <v>0</v>
      </c>
      <c r="L364">
        <v>0</v>
      </c>
      <c r="M364" t="s">
        <v>1301</v>
      </c>
      <c r="N364">
        <v>123600</v>
      </c>
      <c r="O364">
        <v>10469</v>
      </c>
      <c r="P364" t="s">
        <v>1310</v>
      </c>
      <c r="Q364" t="s">
        <v>1315</v>
      </c>
      <c r="R364" t="s">
        <v>1314</v>
      </c>
      <c r="S364" t="s">
        <v>1337</v>
      </c>
      <c r="W364" t="s">
        <v>1366</v>
      </c>
      <c r="AA364">
        <v>0</v>
      </c>
      <c r="AB364">
        <v>0</v>
      </c>
      <c r="AD364">
        <v>0</v>
      </c>
      <c r="AE364">
        <v>0</v>
      </c>
      <c r="AF364">
        <v>0</v>
      </c>
      <c r="AG364">
        <v>0</v>
      </c>
    </row>
    <row r="365" spans="1:33">
      <c r="A365" s="1">
        <f>HYPERLINK("https://lsnyc.legalserver.org/matter/dynamic-profile/view/1903026","19-1903026")</f>
        <v>0</v>
      </c>
      <c r="B365" t="s">
        <v>34</v>
      </c>
      <c r="C365" t="s">
        <v>57</v>
      </c>
      <c r="D365" t="s">
        <v>376</v>
      </c>
      <c r="E365" t="s">
        <v>909</v>
      </c>
      <c r="F365">
        <v>2093</v>
      </c>
      <c r="G365" t="s">
        <v>1207</v>
      </c>
      <c r="I365" t="s">
        <v>1298</v>
      </c>
      <c r="J365">
        <v>1</v>
      </c>
      <c r="K365">
        <v>0</v>
      </c>
      <c r="L365">
        <v>1</v>
      </c>
      <c r="M365" t="s">
        <v>1302</v>
      </c>
      <c r="N365">
        <v>38508</v>
      </c>
      <c r="O365">
        <v>11434</v>
      </c>
      <c r="P365" t="s">
        <v>1308</v>
      </c>
      <c r="Q365" t="s">
        <v>1314</v>
      </c>
      <c r="R365" t="s">
        <v>1315</v>
      </c>
      <c r="S365" t="s">
        <v>1336</v>
      </c>
      <c r="AA365">
        <v>0</v>
      </c>
      <c r="AB365">
        <v>0</v>
      </c>
      <c r="AD365">
        <v>0</v>
      </c>
      <c r="AE365">
        <v>0</v>
      </c>
      <c r="AF365">
        <v>0</v>
      </c>
      <c r="AG365">
        <v>0</v>
      </c>
    </row>
    <row r="366" spans="1:33">
      <c r="A366" s="1">
        <f>HYPERLINK("https://lsnyc.legalserver.org/matter/dynamic-profile/view/1902922","19-1902922")</f>
        <v>0</v>
      </c>
      <c r="B366" t="s">
        <v>35</v>
      </c>
      <c r="C366" t="s">
        <v>51</v>
      </c>
      <c r="D366" t="s">
        <v>377</v>
      </c>
      <c r="E366" t="s">
        <v>910</v>
      </c>
      <c r="F366">
        <v>2091</v>
      </c>
      <c r="G366" t="s">
        <v>1185</v>
      </c>
      <c r="I366" t="s">
        <v>1298</v>
      </c>
      <c r="J366">
        <v>2</v>
      </c>
      <c r="K366">
        <v>4</v>
      </c>
      <c r="L366">
        <v>0</v>
      </c>
      <c r="M366" t="s">
        <v>1302</v>
      </c>
      <c r="N366">
        <v>127200</v>
      </c>
      <c r="O366">
        <v>11233</v>
      </c>
      <c r="P366" t="s">
        <v>1309</v>
      </c>
      <c r="Q366" t="s">
        <v>1316</v>
      </c>
      <c r="S366" t="s">
        <v>1332</v>
      </c>
      <c r="T366" t="s">
        <v>1337</v>
      </c>
      <c r="W366" t="s">
        <v>1361</v>
      </c>
      <c r="Y366" t="s">
        <v>1366</v>
      </c>
      <c r="AA366">
        <v>0</v>
      </c>
      <c r="AB366">
        <v>0</v>
      </c>
      <c r="AD366">
        <v>0</v>
      </c>
      <c r="AE366">
        <v>0</v>
      </c>
      <c r="AF366">
        <v>0</v>
      </c>
      <c r="AG366">
        <v>0</v>
      </c>
    </row>
    <row r="367" spans="1:33">
      <c r="A367" s="1">
        <f>HYPERLINK("https://lsnyc.legalserver.org/matter/dynamic-profile/view/1903526","19-1903526")</f>
        <v>0</v>
      </c>
      <c r="B367" t="s">
        <v>36</v>
      </c>
      <c r="C367" t="s">
        <v>46</v>
      </c>
      <c r="D367" t="s">
        <v>179</v>
      </c>
      <c r="E367" t="s">
        <v>888</v>
      </c>
      <c r="F367">
        <v>2094</v>
      </c>
      <c r="G367" t="s">
        <v>1181</v>
      </c>
      <c r="I367" t="s">
        <v>1298</v>
      </c>
      <c r="J367">
        <v>1</v>
      </c>
      <c r="K367">
        <v>2</v>
      </c>
      <c r="L367">
        <v>0</v>
      </c>
      <c r="M367" t="s">
        <v>1303</v>
      </c>
      <c r="N367">
        <v>115000</v>
      </c>
      <c r="O367">
        <v>10473</v>
      </c>
      <c r="P367" t="s">
        <v>1310</v>
      </c>
      <c r="Q367" t="s">
        <v>1315</v>
      </c>
      <c r="S367" t="s">
        <v>1337</v>
      </c>
      <c r="W367" t="s">
        <v>1366</v>
      </c>
      <c r="AA367">
        <v>0</v>
      </c>
      <c r="AB367">
        <v>0</v>
      </c>
      <c r="AD367">
        <v>0</v>
      </c>
      <c r="AE367">
        <v>0</v>
      </c>
      <c r="AF367">
        <v>0</v>
      </c>
      <c r="AG367">
        <v>0</v>
      </c>
    </row>
    <row r="368" spans="1:33">
      <c r="A368" s="1">
        <f>HYPERLINK("https://lsnyc.legalserver.org/matter/dynamic-profile/view/1904339","19-1904339")</f>
        <v>0</v>
      </c>
      <c r="B368" t="s">
        <v>35</v>
      </c>
      <c r="C368" t="s">
        <v>52</v>
      </c>
      <c r="D368" t="s">
        <v>378</v>
      </c>
      <c r="E368" t="s">
        <v>631</v>
      </c>
      <c r="F368">
        <v>2091</v>
      </c>
      <c r="G368" t="s">
        <v>1215</v>
      </c>
      <c r="I368" t="s">
        <v>1298</v>
      </c>
      <c r="J368">
        <v>3</v>
      </c>
      <c r="K368">
        <v>2</v>
      </c>
      <c r="L368">
        <v>0</v>
      </c>
      <c r="M368" t="s">
        <v>1302</v>
      </c>
      <c r="N368">
        <v>84720.58</v>
      </c>
      <c r="O368">
        <v>11236</v>
      </c>
      <c r="P368" t="s">
        <v>1309</v>
      </c>
      <c r="Q368" t="s">
        <v>1317</v>
      </c>
      <c r="S368" t="s">
        <v>1338</v>
      </c>
      <c r="AA368">
        <v>0</v>
      </c>
      <c r="AB368">
        <v>0</v>
      </c>
      <c r="AD368">
        <v>0</v>
      </c>
      <c r="AE368">
        <v>0</v>
      </c>
      <c r="AF368">
        <v>0</v>
      </c>
      <c r="AG368">
        <v>0</v>
      </c>
    </row>
    <row r="369" spans="1:33">
      <c r="A369" s="1">
        <f>HYPERLINK("https://lsnyc.legalserver.org/matter/dynamic-profile/view/1903758","19-1903758")</f>
        <v>0</v>
      </c>
      <c r="B369" t="s">
        <v>34</v>
      </c>
      <c r="C369" t="s">
        <v>49</v>
      </c>
      <c r="D369" t="s">
        <v>379</v>
      </c>
      <c r="E369" t="s">
        <v>783</v>
      </c>
      <c r="F369">
        <v>2093</v>
      </c>
      <c r="G369" t="s">
        <v>1224</v>
      </c>
      <c r="I369" t="s">
        <v>1298</v>
      </c>
      <c r="J369">
        <v>4</v>
      </c>
      <c r="K369">
        <v>1</v>
      </c>
      <c r="L369">
        <v>1</v>
      </c>
      <c r="M369" t="s">
        <v>1302</v>
      </c>
      <c r="N369">
        <v>14400</v>
      </c>
      <c r="O369">
        <v>11412</v>
      </c>
      <c r="P369" t="s">
        <v>1308</v>
      </c>
      <c r="Q369" t="s">
        <v>1315</v>
      </c>
      <c r="S369" t="s">
        <v>1333</v>
      </c>
      <c r="AA369">
        <v>0</v>
      </c>
      <c r="AB369">
        <v>0</v>
      </c>
      <c r="AD369">
        <v>0</v>
      </c>
      <c r="AE369">
        <v>0</v>
      </c>
      <c r="AF369">
        <v>0</v>
      </c>
      <c r="AG369">
        <v>0</v>
      </c>
    </row>
    <row r="370" spans="1:33">
      <c r="A370" s="1">
        <f>HYPERLINK("https://lsnyc.legalserver.org/matter/dynamic-profile/view/1904492","19-1904492")</f>
        <v>0</v>
      </c>
      <c r="B370" t="s">
        <v>36</v>
      </c>
      <c r="C370" t="s">
        <v>41</v>
      </c>
      <c r="D370" t="s">
        <v>380</v>
      </c>
      <c r="E370" t="s">
        <v>614</v>
      </c>
      <c r="F370">
        <v>2094</v>
      </c>
      <c r="G370" t="s">
        <v>1250</v>
      </c>
      <c r="I370" t="s">
        <v>1298</v>
      </c>
      <c r="J370">
        <v>1</v>
      </c>
      <c r="K370">
        <v>0</v>
      </c>
      <c r="L370">
        <v>1</v>
      </c>
      <c r="M370" t="s">
        <v>1304</v>
      </c>
      <c r="N370">
        <v>110772</v>
      </c>
      <c r="O370">
        <v>10467</v>
      </c>
      <c r="P370" t="s">
        <v>1310</v>
      </c>
      <c r="Q370" t="s">
        <v>1314</v>
      </c>
      <c r="S370" t="s">
        <v>1332</v>
      </c>
      <c r="T370" t="s">
        <v>1336</v>
      </c>
      <c r="W370" t="s">
        <v>1361</v>
      </c>
      <c r="Y370" t="s">
        <v>1366</v>
      </c>
      <c r="AA370">
        <v>0</v>
      </c>
      <c r="AB370">
        <v>0</v>
      </c>
      <c r="AD370">
        <v>0</v>
      </c>
      <c r="AE370">
        <v>0</v>
      </c>
      <c r="AF370">
        <v>0</v>
      </c>
      <c r="AG370">
        <v>0</v>
      </c>
    </row>
    <row r="371" spans="1:33">
      <c r="A371" s="1">
        <f>HYPERLINK("https://lsnyc.legalserver.org/matter/dynamic-profile/view/1904503","19-1904503")</f>
        <v>0</v>
      </c>
      <c r="B371" t="s">
        <v>34</v>
      </c>
      <c r="C371" t="s">
        <v>54</v>
      </c>
      <c r="D371" t="s">
        <v>381</v>
      </c>
      <c r="E371" t="s">
        <v>629</v>
      </c>
      <c r="F371">
        <v>2093</v>
      </c>
      <c r="G371" t="s">
        <v>1210</v>
      </c>
      <c r="I371" t="s">
        <v>1298</v>
      </c>
      <c r="J371">
        <v>3</v>
      </c>
      <c r="K371">
        <v>0</v>
      </c>
      <c r="L371">
        <v>1</v>
      </c>
      <c r="M371" t="s">
        <v>1301</v>
      </c>
      <c r="N371">
        <v>70000</v>
      </c>
      <c r="O371">
        <v>11368</v>
      </c>
      <c r="P371" t="s">
        <v>1308</v>
      </c>
      <c r="Q371" t="s">
        <v>1321</v>
      </c>
      <c r="S371" t="s">
        <v>1336</v>
      </c>
      <c r="AA371">
        <v>0</v>
      </c>
      <c r="AB371">
        <v>0</v>
      </c>
      <c r="AD371">
        <v>0</v>
      </c>
      <c r="AE371">
        <v>0</v>
      </c>
      <c r="AF371">
        <v>0</v>
      </c>
      <c r="AG371">
        <v>0</v>
      </c>
    </row>
    <row r="372" spans="1:33">
      <c r="A372" s="1">
        <f>HYPERLINK("https://lsnyc.legalserver.org/matter/dynamic-profile/view/1904529","19-1904529")</f>
        <v>0</v>
      </c>
      <c r="B372" t="s">
        <v>36</v>
      </c>
      <c r="C372" t="s">
        <v>58</v>
      </c>
      <c r="D372" t="s">
        <v>382</v>
      </c>
      <c r="E372" t="s">
        <v>911</v>
      </c>
      <c r="F372">
        <v>2094</v>
      </c>
      <c r="G372" t="s">
        <v>1192</v>
      </c>
      <c r="I372" t="s">
        <v>1298</v>
      </c>
      <c r="J372">
        <v>1</v>
      </c>
      <c r="K372">
        <v>0</v>
      </c>
      <c r="L372">
        <v>0</v>
      </c>
      <c r="M372" t="s">
        <v>1302</v>
      </c>
      <c r="N372">
        <v>100400</v>
      </c>
      <c r="O372">
        <v>10466</v>
      </c>
      <c r="P372" t="s">
        <v>1310</v>
      </c>
      <c r="Q372" t="s">
        <v>1321</v>
      </c>
      <c r="S372" t="s">
        <v>1332</v>
      </c>
      <c r="T372" t="s">
        <v>1333</v>
      </c>
      <c r="W372" t="s">
        <v>1361</v>
      </c>
      <c r="Y372" t="s">
        <v>1366</v>
      </c>
      <c r="AA372">
        <v>0</v>
      </c>
      <c r="AB372">
        <v>0</v>
      </c>
      <c r="AD372">
        <v>0</v>
      </c>
      <c r="AE372">
        <v>0</v>
      </c>
      <c r="AF372">
        <v>0</v>
      </c>
      <c r="AG372">
        <v>0</v>
      </c>
    </row>
    <row r="373" spans="1:33">
      <c r="A373" s="1">
        <f>HYPERLINK("https://lsnyc.legalserver.org/matter/dynamic-profile/view/1904650","19-1904650")</f>
        <v>0</v>
      </c>
      <c r="B373" t="s">
        <v>35</v>
      </c>
      <c r="C373" t="s">
        <v>55</v>
      </c>
      <c r="D373" t="s">
        <v>383</v>
      </c>
      <c r="E373" t="s">
        <v>912</v>
      </c>
      <c r="F373">
        <v>2091</v>
      </c>
      <c r="G373" t="s">
        <v>1223</v>
      </c>
      <c r="I373" t="s">
        <v>1298</v>
      </c>
      <c r="J373">
        <v>3</v>
      </c>
      <c r="K373">
        <v>0</v>
      </c>
      <c r="L373">
        <v>0</v>
      </c>
      <c r="N373">
        <v>125947.54</v>
      </c>
      <c r="O373">
        <v>11208</v>
      </c>
      <c r="P373" t="s">
        <v>1309</v>
      </c>
      <c r="Q373" t="s">
        <v>1315</v>
      </c>
      <c r="S373" t="s">
        <v>1333</v>
      </c>
      <c r="T373" t="s">
        <v>1340</v>
      </c>
      <c r="U373" t="s">
        <v>1356</v>
      </c>
      <c r="W373" t="s">
        <v>1361</v>
      </c>
      <c r="AA373">
        <v>0</v>
      </c>
      <c r="AB373">
        <v>0</v>
      </c>
      <c r="AD373">
        <v>0</v>
      </c>
      <c r="AE373">
        <v>0</v>
      </c>
      <c r="AF373">
        <v>0</v>
      </c>
      <c r="AG373">
        <v>0</v>
      </c>
    </row>
    <row r="374" spans="1:33">
      <c r="A374" s="1">
        <f>HYPERLINK("https://lsnyc.legalserver.org/matter/dynamic-profile/view/1905079","19-1905079")</f>
        <v>0</v>
      </c>
      <c r="B374" t="s">
        <v>34</v>
      </c>
      <c r="C374" t="s">
        <v>64</v>
      </c>
      <c r="D374" t="s">
        <v>197</v>
      </c>
      <c r="E374" t="s">
        <v>913</v>
      </c>
      <c r="F374">
        <v>2093</v>
      </c>
      <c r="G374" t="s">
        <v>1179</v>
      </c>
      <c r="I374" t="s">
        <v>1298</v>
      </c>
      <c r="J374">
        <v>3</v>
      </c>
      <c r="K374">
        <v>0</v>
      </c>
      <c r="L374">
        <v>0</v>
      </c>
      <c r="M374" t="s">
        <v>1301</v>
      </c>
      <c r="N374">
        <v>6500</v>
      </c>
      <c r="O374">
        <v>11691</v>
      </c>
      <c r="P374" t="s">
        <v>1308</v>
      </c>
      <c r="Q374" t="s">
        <v>1317</v>
      </c>
      <c r="S374" t="s">
        <v>1333</v>
      </c>
      <c r="AA374">
        <v>0</v>
      </c>
      <c r="AB374">
        <v>0</v>
      </c>
      <c r="AD374">
        <v>0</v>
      </c>
      <c r="AE374">
        <v>0</v>
      </c>
      <c r="AF374">
        <v>0</v>
      </c>
      <c r="AG374">
        <v>0</v>
      </c>
    </row>
    <row r="375" spans="1:33">
      <c r="A375" s="1">
        <f>HYPERLINK("https://lsnyc.legalserver.org/matter/dynamic-profile/view/1905216","19-1905216")</f>
        <v>0</v>
      </c>
      <c r="B375" t="s">
        <v>36</v>
      </c>
      <c r="C375" t="s">
        <v>59</v>
      </c>
      <c r="D375" t="s">
        <v>384</v>
      </c>
      <c r="E375" t="s">
        <v>914</v>
      </c>
      <c r="F375">
        <v>2094</v>
      </c>
      <c r="G375" t="s">
        <v>1210</v>
      </c>
      <c r="I375" t="s">
        <v>1298</v>
      </c>
      <c r="J375">
        <v>1</v>
      </c>
      <c r="K375">
        <v>1</v>
      </c>
      <c r="L375">
        <v>0</v>
      </c>
      <c r="M375" t="s">
        <v>1303</v>
      </c>
      <c r="N375">
        <v>29120</v>
      </c>
      <c r="O375">
        <v>10473</v>
      </c>
      <c r="P375" t="s">
        <v>1310</v>
      </c>
      <c r="Q375" t="s">
        <v>1314</v>
      </c>
      <c r="R375" t="s">
        <v>1315</v>
      </c>
      <c r="S375" t="s">
        <v>1336</v>
      </c>
      <c r="T375" t="s">
        <v>1333</v>
      </c>
      <c r="W375" t="s">
        <v>1366</v>
      </c>
      <c r="AA375">
        <v>0</v>
      </c>
      <c r="AB375">
        <v>0</v>
      </c>
      <c r="AD375">
        <v>0</v>
      </c>
      <c r="AE375">
        <v>0</v>
      </c>
      <c r="AF375">
        <v>0</v>
      </c>
      <c r="AG375">
        <v>0</v>
      </c>
    </row>
    <row r="376" spans="1:33">
      <c r="A376" s="1">
        <f>HYPERLINK("https://lsnyc.legalserver.org/matter/dynamic-profile/view/1905223","19-1905223")</f>
        <v>0</v>
      </c>
      <c r="B376" t="s">
        <v>36</v>
      </c>
      <c r="C376" t="s">
        <v>58</v>
      </c>
      <c r="D376" t="s">
        <v>385</v>
      </c>
      <c r="E376" t="s">
        <v>630</v>
      </c>
      <c r="F376">
        <v>2094</v>
      </c>
      <c r="G376" t="s">
        <v>1210</v>
      </c>
      <c r="H376" t="s">
        <v>1233</v>
      </c>
      <c r="I376" t="s">
        <v>1298</v>
      </c>
      <c r="J376">
        <v>3</v>
      </c>
      <c r="K376">
        <v>0</v>
      </c>
      <c r="L376">
        <v>0</v>
      </c>
      <c r="M376" t="s">
        <v>1302</v>
      </c>
      <c r="N376">
        <v>62100</v>
      </c>
      <c r="O376">
        <v>10469</v>
      </c>
      <c r="P376" t="s">
        <v>1310</v>
      </c>
      <c r="Q376" t="s">
        <v>1319</v>
      </c>
      <c r="R376" t="s">
        <v>1314</v>
      </c>
      <c r="S376" t="s">
        <v>1332</v>
      </c>
      <c r="T376" t="s">
        <v>1336</v>
      </c>
      <c r="W376" t="s">
        <v>1361</v>
      </c>
      <c r="Y376" t="s">
        <v>1366</v>
      </c>
      <c r="AA376">
        <v>0</v>
      </c>
      <c r="AB376">
        <v>0</v>
      </c>
      <c r="AD376">
        <v>0</v>
      </c>
      <c r="AE376">
        <v>0</v>
      </c>
      <c r="AF376">
        <v>0</v>
      </c>
      <c r="AG376">
        <v>0</v>
      </c>
    </row>
    <row r="377" spans="1:33">
      <c r="A377" s="1">
        <f>HYPERLINK("https://lsnyc.legalserver.org/matter/dynamic-profile/view/1905828","19-1905828")</f>
        <v>0</v>
      </c>
      <c r="B377" t="s">
        <v>36</v>
      </c>
      <c r="C377" t="s">
        <v>41</v>
      </c>
      <c r="D377" t="s">
        <v>288</v>
      </c>
      <c r="E377" t="s">
        <v>915</v>
      </c>
      <c r="F377">
        <v>2094</v>
      </c>
      <c r="G377" t="s">
        <v>1209</v>
      </c>
      <c r="I377" t="s">
        <v>1298</v>
      </c>
      <c r="J377">
        <v>1</v>
      </c>
      <c r="K377">
        <v>0</v>
      </c>
      <c r="L377">
        <v>0</v>
      </c>
      <c r="M377" t="s">
        <v>1302</v>
      </c>
      <c r="N377">
        <v>41289.6</v>
      </c>
      <c r="O377">
        <v>10469</v>
      </c>
      <c r="P377" t="s">
        <v>1310</v>
      </c>
      <c r="Q377" t="s">
        <v>1324</v>
      </c>
      <c r="S377" t="s">
        <v>1332</v>
      </c>
      <c r="T377" t="s">
        <v>1336</v>
      </c>
      <c r="W377" t="s">
        <v>1361</v>
      </c>
      <c r="Y377" t="s">
        <v>1366</v>
      </c>
      <c r="AA377">
        <v>0</v>
      </c>
      <c r="AB377">
        <v>0</v>
      </c>
      <c r="AD377">
        <v>0</v>
      </c>
      <c r="AE377">
        <v>0</v>
      </c>
      <c r="AF377">
        <v>0</v>
      </c>
      <c r="AG377">
        <v>0</v>
      </c>
    </row>
    <row r="378" spans="1:33">
      <c r="A378" s="1">
        <f>HYPERLINK("https://lsnyc.legalserver.org/matter/dynamic-profile/view/1905841","19-1905841")</f>
        <v>0</v>
      </c>
      <c r="B378" t="s">
        <v>36</v>
      </c>
      <c r="C378" t="s">
        <v>41</v>
      </c>
      <c r="D378" t="s">
        <v>131</v>
      </c>
      <c r="E378" t="s">
        <v>916</v>
      </c>
      <c r="F378">
        <v>2094</v>
      </c>
      <c r="G378" t="s">
        <v>1181</v>
      </c>
      <c r="I378" t="s">
        <v>1298</v>
      </c>
      <c r="J378">
        <v>1</v>
      </c>
      <c r="K378">
        <v>0</v>
      </c>
      <c r="L378">
        <v>1</v>
      </c>
      <c r="M378" t="s">
        <v>1301</v>
      </c>
      <c r="N378">
        <v>41760</v>
      </c>
      <c r="O378">
        <v>10466</v>
      </c>
      <c r="P378" t="s">
        <v>1310</v>
      </c>
      <c r="Q378" t="s">
        <v>1316</v>
      </c>
      <c r="AA378">
        <v>0</v>
      </c>
      <c r="AB378">
        <v>0</v>
      </c>
      <c r="AD378">
        <v>0</v>
      </c>
      <c r="AE378">
        <v>0</v>
      </c>
      <c r="AF378">
        <v>0</v>
      </c>
      <c r="AG378">
        <v>0</v>
      </c>
    </row>
    <row r="379" spans="1:33">
      <c r="A379" s="1">
        <f>HYPERLINK("https://lsnyc.legalserver.org/matter/dynamic-profile/view/1905870","19-1905870")</f>
        <v>0</v>
      </c>
      <c r="B379" t="s">
        <v>36</v>
      </c>
      <c r="C379" t="s">
        <v>58</v>
      </c>
      <c r="D379" t="s">
        <v>303</v>
      </c>
      <c r="E379" t="s">
        <v>917</v>
      </c>
      <c r="F379">
        <v>2094</v>
      </c>
      <c r="G379" t="s">
        <v>1179</v>
      </c>
      <c r="I379" t="s">
        <v>1298</v>
      </c>
      <c r="J379">
        <v>6</v>
      </c>
      <c r="K379">
        <v>0</v>
      </c>
      <c r="L379">
        <v>0</v>
      </c>
      <c r="M379" t="s">
        <v>1302</v>
      </c>
      <c r="N379">
        <v>78000</v>
      </c>
      <c r="O379">
        <v>10469</v>
      </c>
      <c r="P379" t="s">
        <v>1310</v>
      </c>
      <c r="Q379" t="s">
        <v>1321</v>
      </c>
      <c r="S379" t="s">
        <v>1332</v>
      </c>
      <c r="U379" t="s">
        <v>1353</v>
      </c>
      <c r="W379" t="s">
        <v>1361</v>
      </c>
      <c r="AA379">
        <v>3296</v>
      </c>
      <c r="AB379">
        <v>0</v>
      </c>
      <c r="AD379">
        <v>0</v>
      </c>
      <c r="AE379">
        <v>0</v>
      </c>
      <c r="AF379">
        <v>0</v>
      </c>
      <c r="AG379">
        <v>0</v>
      </c>
    </row>
    <row r="380" spans="1:33">
      <c r="A380" s="1">
        <f>HYPERLINK("https://lsnyc.legalserver.org/matter/dynamic-profile/view/1906233","19-1906233")</f>
        <v>0</v>
      </c>
      <c r="B380" t="s">
        <v>34</v>
      </c>
      <c r="C380" t="s">
        <v>44</v>
      </c>
      <c r="D380" t="s">
        <v>386</v>
      </c>
      <c r="E380" t="s">
        <v>622</v>
      </c>
      <c r="F380">
        <v>2093</v>
      </c>
      <c r="G380" t="s">
        <v>1191</v>
      </c>
      <c r="I380" t="s">
        <v>1298</v>
      </c>
      <c r="J380">
        <v>1</v>
      </c>
      <c r="K380">
        <v>2</v>
      </c>
      <c r="L380">
        <v>1</v>
      </c>
      <c r="M380" t="s">
        <v>1301</v>
      </c>
      <c r="N380">
        <v>19860</v>
      </c>
      <c r="O380">
        <v>11429</v>
      </c>
      <c r="P380" t="s">
        <v>1308</v>
      </c>
      <c r="Q380" t="s">
        <v>1320</v>
      </c>
      <c r="S380" t="s">
        <v>1337</v>
      </c>
      <c r="AA380">
        <v>0</v>
      </c>
      <c r="AB380">
        <v>0</v>
      </c>
      <c r="AD380">
        <v>0</v>
      </c>
      <c r="AE380">
        <v>0</v>
      </c>
      <c r="AF380">
        <v>0</v>
      </c>
      <c r="AG380">
        <v>0</v>
      </c>
    </row>
    <row r="381" spans="1:33">
      <c r="A381" s="1">
        <f>HYPERLINK("https://lsnyc.legalserver.org/matter/dynamic-profile/view/1906383","19-1906383")</f>
        <v>0</v>
      </c>
      <c r="B381" t="s">
        <v>36</v>
      </c>
      <c r="C381" t="s">
        <v>46</v>
      </c>
      <c r="D381" t="s">
        <v>214</v>
      </c>
      <c r="E381" t="s">
        <v>918</v>
      </c>
      <c r="F381">
        <v>2094</v>
      </c>
      <c r="G381" t="s">
        <v>1209</v>
      </c>
      <c r="I381" t="s">
        <v>1298</v>
      </c>
      <c r="J381">
        <v>1</v>
      </c>
      <c r="K381">
        <v>0</v>
      </c>
      <c r="L381">
        <v>1</v>
      </c>
      <c r="M381" t="s">
        <v>1301</v>
      </c>
      <c r="N381">
        <v>16800</v>
      </c>
      <c r="O381">
        <v>10456</v>
      </c>
      <c r="P381" t="s">
        <v>1310</v>
      </c>
      <c r="Q381" t="s">
        <v>1324</v>
      </c>
      <c r="S381" t="s">
        <v>1341</v>
      </c>
      <c r="T381" t="s">
        <v>1334</v>
      </c>
      <c r="W381" t="s">
        <v>1369</v>
      </c>
      <c r="Y381" t="s">
        <v>1383</v>
      </c>
      <c r="AA381">
        <v>0</v>
      </c>
      <c r="AB381">
        <v>0</v>
      </c>
      <c r="AD381">
        <v>0</v>
      </c>
      <c r="AE381">
        <v>0</v>
      </c>
      <c r="AF381">
        <v>0</v>
      </c>
      <c r="AG381">
        <v>0</v>
      </c>
    </row>
    <row r="382" spans="1:33">
      <c r="A382" s="1">
        <f>HYPERLINK("https://lsnyc.legalserver.org/matter/dynamic-profile/view/1906413","19-1906413")</f>
        <v>0</v>
      </c>
      <c r="B382" t="s">
        <v>36</v>
      </c>
      <c r="C382" t="s">
        <v>46</v>
      </c>
      <c r="D382" t="s">
        <v>387</v>
      </c>
      <c r="E382" t="s">
        <v>647</v>
      </c>
      <c r="F382">
        <v>2094</v>
      </c>
      <c r="I382" t="s">
        <v>1298</v>
      </c>
      <c r="J382">
        <v>2</v>
      </c>
      <c r="K382">
        <v>0</v>
      </c>
      <c r="L382">
        <v>2</v>
      </c>
      <c r="M382" t="s">
        <v>1301</v>
      </c>
      <c r="N382">
        <v>34400</v>
      </c>
      <c r="O382">
        <v>10466</v>
      </c>
      <c r="P382" t="s">
        <v>1310</v>
      </c>
      <c r="Q382" t="s">
        <v>1314</v>
      </c>
      <c r="R382" t="s">
        <v>1321</v>
      </c>
      <c r="S382" t="s">
        <v>1334</v>
      </c>
      <c r="T382" t="s">
        <v>1336</v>
      </c>
      <c r="W382" t="s">
        <v>1366</v>
      </c>
      <c r="AA382">
        <v>0</v>
      </c>
      <c r="AB382">
        <v>0</v>
      </c>
      <c r="AD382">
        <v>0</v>
      </c>
      <c r="AE382">
        <v>0</v>
      </c>
      <c r="AF382">
        <v>0</v>
      </c>
      <c r="AG382">
        <v>0</v>
      </c>
    </row>
    <row r="383" spans="1:33">
      <c r="A383" s="1">
        <f>HYPERLINK("https://lsnyc.legalserver.org/matter/dynamic-profile/view/1906641","19-1906641")</f>
        <v>0</v>
      </c>
      <c r="B383" t="s">
        <v>34</v>
      </c>
      <c r="C383" t="s">
        <v>64</v>
      </c>
      <c r="D383" t="s">
        <v>190</v>
      </c>
      <c r="E383" t="s">
        <v>919</v>
      </c>
      <c r="F383">
        <v>2093</v>
      </c>
      <c r="G383" t="s">
        <v>1269</v>
      </c>
      <c r="I383" t="s">
        <v>1298</v>
      </c>
      <c r="J383">
        <v>1</v>
      </c>
      <c r="K383">
        <v>0</v>
      </c>
      <c r="L383">
        <v>0</v>
      </c>
      <c r="M383" t="s">
        <v>1302</v>
      </c>
      <c r="N383">
        <v>24000</v>
      </c>
      <c r="O383">
        <v>11434</v>
      </c>
      <c r="P383" t="s">
        <v>1308</v>
      </c>
      <c r="Q383" t="s">
        <v>1320</v>
      </c>
      <c r="S383" t="s">
        <v>1332</v>
      </c>
      <c r="AA383">
        <v>0</v>
      </c>
      <c r="AB383">
        <v>0</v>
      </c>
      <c r="AD383">
        <v>0</v>
      </c>
      <c r="AE383">
        <v>0</v>
      </c>
      <c r="AF383">
        <v>0</v>
      </c>
      <c r="AG383">
        <v>0</v>
      </c>
    </row>
    <row r="384" spans="1:33">
      <c r="A384" s="1">
        <f>HYPERLINK("https://lsnyc.legalserver.org/matter/dynamic-profile/view/1906935","19-1906935")</f>
        <v>0</v>
      </c>
      <c r="B384" t="s">
        <v>36</v>
      </c>
      <c r="C384" t="s">
        <v>58</v>
      </c>
      <c r="D384" t="s">
        <v>388</v>
      </c>
      <c r="E384" t="s">
        <v>920</v>
      </c>
      <c r="F384">
        <v>2094</v>
      </c>
      <c r="G384" t="s">
        <v>1188</v>
      </c>
      <c r="I384" t="s">
        <v>1298</v>
      </c>
      <c r="J384">
        <v>3</v>
      </c>
      <c r="K384">
        <v>0</v>
      </c>
      <c r="L384">
        <v>0</v>
      </c>
      <c r="M384" t="s">
        <v>1302</v>
      </c>
      <c r="N384">
        <v>104000</v>
      </c>
      <c r="O384">
        <v>10469</v>
      </c>
      <c r="P384" t="s">
        <v>1310</v>
      </c>
      <c r="Q384" t="s">
        <v>1319</v>
      </c>
      <c r="R384" t="s">
        <v>1315</v>
      </c>
      <c r="S384" t="s">
        <v>1332</v>
      </c>
      <c r="T384" t="s">
        <v>1336</v>
      </c>
      <c r="U384" t="s">
        <v>1352</v>
      </c>
      <c r="W384" t="s">
        <v>1361</v>
      </c>
      <c r="Y384" t="s">
        <v>1366</v>
      </c>
      <c r="AA384">
        <v>2111</v>
      </c>
      <c r="AB384">
        <v>0</v>
      </c>
      <c r="AD384">
        <v>0</v>
      </c>
      <c r="AE384">
        <v>0</v>
      </c>
      <c r="AF384">
        <v>0</v>
      </c>
      <c r="AG384">
        <v>0</v>
      </c>
    </row>
    <row r="385" spans="1:33">
      <c r="A385" s="1">
        <f>HYPERLINK("https://lsnyc.legalserver.org/matter/dynamic-profile/view/1906990","19-1906990")</f>
        <v>0</v>
      </c>
      <c r="B385" t="s">
        <v>34</v>
      </c>
      <c r="C385" t="s">
        <v>54</v>
      </c>
      <c r="D385" t="s">
        <v>342</v>
      </c>
      <c r="E385" t="s">
        <v>921</v>
      </c>
      <c r="F385">
        <v>2093</v>
      </c>
      <c r="G385" t="s">
        <v>1192</v>
      </c>
      <c r="I385" t="s">
        <v>1298</v>
      </c>
      <c r="J385">
        <v>2</v>
      </c>
      <c r="K385">
        <v>0</v>
      </c>
      <c r="L385">
        <v>0</v>
      </c>
      <c r="M385" t="s">
        <v>1302</v>
      </c>
      <c r="N385">
        <v>74620.2</v>
      </c>
      <c r="O385">
        <v>11433</v>
      </c>
      <c r="P385" t="s">
        <v>1308</v>
      </c>
      <c r="Q385" t="s">
        <v>1320</v>
      </c>
      <c r="S385" t="s">
        <v>1332</v>
      </c>
      <c r="W385" t="s">
        <v>1361</v>
      </c>
      <c r="AA385">
        <v>0</v>
      </c>
      <c r="AB385">
        <v>0</v>
      </c>
      <c r="AD385">
        <v>0</v>
      </c>
      <c r="AE385">
        <v>0</v>
      </c>
      <c r="AF385">
        <v>0</v>
      </c>
      <c r="AG385">
        <v>0</v>
      </c>
    </row>
    <row r="386" spans="1:33">
      <c r="A386" s="1">
        <f>HYPERLINK("https://lsnyc.legalserver.org/matter/dynamic-profile/view/1906991","19-1906991")</f>
        <v>0</v>
      </c>
      <c r="B386" t="s">
        <v>34</v>
      </c>
      <c r="C386" t="s">
        <v>65</v>
      </c>
      <c r="D386" t="s">
        <v>389</v>
      </c>
      <c r="E386" t="s">
        <v>619</v>
      </c>
      <c r="F386">
        <v>2093</v>
      </c>
      <c r="G386" t="s">
        <v>990</v>
      </c>
      <c r="I386" t="s">
        <v>1298</v>
      </c>
      <c r="J386">
        <v>2</v>
      </c>
      <c r="K386">
        <v>0</v>
      </c>
      <c r="L386">
        <v>1</v>
      </c>
      <c r="N386">
        <v>34800</v>
      </c>
      <c r="O386">
        <v>11434</v>
      </c>
      <c r="P386" t="s">
        <v>1308</v>
      </c>
      <c r="Q386" t="s">
        <v>1324</v>
      </c>
      <c r="S386" t="s">
        <v>1333</v>
      </c>
      <c r="AA386">
        <v>0</v>
      </c>
      <c r="AB386">
        <v>0</v>
      </c>
      <c r="AD386">
        <v>0</v>
      </c>
      <c r="AE386">
        <v>0</v>
      </c>
      <c r="AF386">
        <v>0</v>
      </c>
      <c r="AG386">
        <v>0</v>
      </c>
    </row>
    <row r="387" spans="1:33">
      <c r="A387" s="1">
        <f>HYPERLINK("https://lsnyc.legalserver.org/matter/dynamic-profile/view/1907037","19-1907037")</f>
        <v>0</v>
      </c>
      <c r="B387" t="s">
        <v>34</v>
      </c>
      <c r="C387" t="s">
        <v>68</v>
      </c>
      <c r="D387" t="s">
        <v>390</v>
      </c>
      <c r="E387" t="s">
        <v>922</v>
      </c>
      <c r="F387">
        <v>2093</v>
      </c>
      <c r="G387" t="s">
        <v>1237</v>
      </c>
      <c r="I387" t="s">
        <v>1298</v>
      </c>
      <c r="J387">
        <v>5</v>
      </c>
      <c r="K387">
        <v>0</v>
      </c>
      <c r="L387">
        <v>1</v>
      </c>
      <c r="M387" t="s">
        <v>1301</v>
      </c>
      <c r="N387">
        <v>50892</v>
      </c>
      <c r="O387">
        <v>11420</v>
      </c>
      <c r="P387" t="s">
        <v>1308</v>
      </c>
      <c r="Q387" t="s">
        <v>1316</v>
      </c>
      <c r="S387" t="s">
        <v>1336</v>
      </c>
      <c r="AA387">
        <v>0</v>
      </c>
      <c r="AB387">
        <v>0</v>
      </c>
      <c r="AD387">
        <v>0</v>
      </c>
      <c r="AE387">
        <v>0</v>
      </c>
      <c r="AF387">
        <v>0</v>
      </c>
      <c r="AG387">
        <v>0</v>
      </c>
    </row>
    <row r="388" spans="1:33">
      <c r="A388" s="1">
        <f>HYPERLINK("https://lsnyc.legalserver.org/matter/dynamic-profile/view/1907564","19-1907564")</f>
        <v>0</v>
      </c>
      <c r="B388" t="s">
        <v>34</v>
      </c>
      <c r="C388" t="s">
        <v>64</v>
      </c>
      <c r="D388" t="s">
        <v>391</v>
      </c>
      <c r="E388" t="s">
        <v>629</v>
      </c>
      <c r="F388">
        <v>2093</v>
      </c>
      <c r="G388" t="s">
        <v>1207</v>
      </c>
      <c r="I388" t="s">
        <v>1298</v>
      </c>
      <c r="J388">
        <v>1</v>
      </c>
      <c r="K388">
        <v>2</v>
      </c>
      <c r="L388">
        <v>0</v>
      </c>
      <c r="M388" t="s">
        <v>1301</v>
      </c>
      <c r="N388">
        <v>18804</v>
      </c>
      <c r="O388">
        <v>11412</v>
      </c>
      <c r="P388" t="s">
        <v>1308</v>
      </c>
      <c r="Q388" t="s">
        <v>1314</v>
      </c>
      <c r="R388" t="s">
        <v>1319</v>
      </c>
      <c r="S388" t="s">
        <v>1333</v>
      </c>
      <c r="T388" t="s">
        <v>1332</v>
      </c>
      <c r="AA388">
        <v>0</v>
      </c>
      <c r="AB388">
        <v>0</v>
      </c>
      <c r="AD388">
        <v>0</v>
      </c>
      <c r="AE388">
        <v>0</v>
      </c>
      <c r="AF388">
        <v>0</v>
      </c>
      <c r="AG388">
        <v>0</v>
      </c>
    </row>
    <row r="389" spans="1:33">
      <c r="A389" s="1">
        <f>HYPERLINK("https://lsnyc.legalserver.org/matter/dynamic-profile/view/1907988","19-1907988")</f>
        <v>0</v>
      </c>
      <c r="B389" t="s">
        <v>36</v>
      </c>
      <c r="C389" t="s">
        <v>46</v>
      </c>
      <c r="D389" t="s">
        <v>392</v>
      </c>
      <c r="E389" t="s">
        <v>923</v>
      </c>
      <c r="F389">
        <v>2094</v>
      </c>
      <c r="I389" t="s">
        <v>1298</v>
      </c>
      <c r="J389">
        <v>1</v>
      </c>
      <c r="K389">
        <v>1</v>
      </c>
      <c r="L389">
        <v>0</v>
      </c>
      <c r="M389" t="s">
        <v>1302</v>
      </c>
      <c r="N389">
        <v>85356</v>
      </c>
      <c r="O389">
        <v>10458</v>
      </c>
      <c r="P389" t="s">
        <v>1310</v>
      </c>
      <c r="Q389" t="s">
        <v>1319</v>
      </c>
      <c r="S389" t="s">
        <v>1336</v>
      </c>
      <c r="W389" t="s">
        <v>1366</v>
      </c>
      <c r="AA389">
        <v>0</v>
      </c>
      <c r="AB389">
        <v>0</v>
      </c>
      <c r="AD389">
        <v>0</v>
      </c>
      <c r="AE389">
        <v>0</v>
      </c>
      <c r="AF389">
        <v>0</v>
      </c>
      <c r="AG389">
        <v>0</v>
      </c>
    </row>
    <row r="390" spans="1:33">
      <c r="A390" s="1">
        <f>HYPERLINK("https://lsnyc.legalserver.org/matter/dynamic-profile/view/1906972","19-1906972")</f>
        <v>0</v>
      </c>
      <c r="B390" t="s">
        <v>35</v>
      </c>
      <c r="C390" t="s">
        <v>40</v>
      </c>
      <c r="D390" t="s">
        <v>166</v>
      </c>
      <c r="E390" t="s">
        <v>924</v>
      </c>
      <c r="F390">
        <v>2091</v>
      </c>
      <c r="I390" t="s">
        <v>1298</v>
      </c>
      <c r="J390">
        <v>1</v>
      </c>
      <c r="K390">
        <v>0</v>
      </c>
      <c r="L390">
        <v>0</v>
      </c>
      <c r="N390">
        <v>29604</v>
      </c>
      <c r="O390">
        <v>11221</v>
      </c>
      <c r="P390" t="s">
        <v>1309</v>
      </c>
      <c r="Q390" t="s">
        <v>1322</v>
      </c>
      <c r="S390" t="s">
        <v>1337</v>
      </c>
      <c r="W390" t="s">
        <v>1381</v>
      </c>
      <c r="Y390" t="s">
        <v>1366</v>
      </c>
      <c r="AA390">
        <v>0</v>
      </c>
      <c r="AB390">
        <v>0</v>
      </c>
      <c r="AD390">
        <v>0</v>
      </c>
      <c r="AE390">
        <v>0</v>
      </c>
      <c r="AF390">
        <v>0</v>
      </c>
      <c r="AG390">
        <v>0</v>
      </c>
    </row>
    <row r="391" spans="1:33">
      <c r="A391" s="1">
        <f>HYPERLINK("https://lsnyc.legalserver.org/matter/dynamic-profile/view/1907875","19-1907875")</f>
        <v>0</v>
      </c>
      <c r="B391" t="s">
        <v>35</v>
      </c>
      <c r="C391" t="s">
        <v>61</v>
      </c>
      <c r="D391" t="s">
        <v>393</v>
      </c>
      <c r="E391" t="s">
        <v>629</v>
      </c>
      <c r="F391">
        <v>2091</v>
      </c>
      <c r="G391" t="s">
        <v>1206</v>
      </c>
      <c r="I391" t="s">
        <v>1298</v>
      </c>
      <c r="J391">
        <v>2</v>
      </c>
      <c r="K391">
        <v>0</v>
      </c>
      <c r="L391">
        <v>0</v>
      </c>
      <c r="N391">
        <v>84700</v>
      </c>
      <c r="O391">
        <v>11226</v>
      </c>
      <c r="P391" t="s">
        <v>1309</v>
      </c>
      <c r="Q391" t="s">
        <v>1315</v>
      </c>
      <c r="S391" t="s">
        <v>1337</v>
      </c>
      <c r="AA391">
        <v>0</v>
      </c>
      <c r="AB391">
        <v>0</v>
      </c>
      <c r="AD391">
        <v>0</v>
      </c>
      <c r="AE391">
        <v>0</v>
      </c>
      <c r="AF391">
        <v>0</v>
      </c>
      <c r="AG391">
        <v>0</v>
      </c>
    </row>
    <row r="392" spans="1:33">
      <c r="A392" s="1">
        <f>HYPERLINK("https://lsnyc.legalserver.org/matter/dynamic-profile/view/1908288","19-1908288")</f>
        <v>0</v>
      </c>
      <c r="B392" t="s">
        <v>34</v>
      </c>
      <c r="C392" t="s">
        <v>57</v>
      </c>
      <c r="D392" t="s">
        <v>394</v>
      </c>
      <c r="E392" t="s">
        <v>190</v>
      </c>
      <c r="F392">
        <v>2093</v>
      </c>
      <c r="G392" t="s">
        <v>1207</v>
      </c>
      <c r="I392" t="s">
        <v>1298</v>
      </c>
      <c r="J392">
        <v>3</v>
      </c>
      <c r="K392">
        <v>0</v>
      </c>
      <c r="L392">
        <v>0</v>
      </c>
      <c r="M392" t="s">
        <v>1301</v>
      </c>
      <c r="N392">
        <v>65964</v>
      </c>
      <c r="O392">
        <v>11412</v>
      </c>
      <c r="P392" t="s">
        <v>1308</v>
      </c>
      <c r="Q392" t="s">
        <v>1315</v>
      </c>
      <c r="S392" t="s">
        <v>1332</v>
      </c>
      <c r="AA392">
        <v>0</v>
      </c>
      <c r="AB392">
        <v>0</v>
      </c>
      <c r="AD392">
        <v>0</v>
      </c>
      <c r="AE392">
        <v>0</v>
      </c>
      <c r="AF392">
        <v>0</v>
      </c>
      <c r="AG392">
        <v>0</v>
      </c>
    </row>
    <row r="393" spans="1:33">
      <c r="A393" s="1">
        <f>HYPERLINK("https://lsnyc.legalserver.org/matter/dynamic-profile/view/1908557","19-1908557")</f>
        <v>0</v>
      </c>
      <c r="B393" t="s">
        <v>36</v>
      </c>
      <c r="C393" t="s">
        <v>58</v>
      </c>
      <c r="D393" t="s">
        <v>99</v>
      </c>
      <c r="E393" t="s">
        <v>925</v>
      </c>
      <c r="F393">
        <v>2094</v>
      </c>
      <c r="G393" t="s">
        <v>1210</v>
      </c>
      <c r="I393" t="s">
        <v>1298</v>
      </c>
      <c r="J393">
        <v>2</v>
      </c>
      <c r="K393">
        <v>0</v>
      </c>
      <c r="L393">
        <v>1</v>
      </c>
      <c r="M393" t="s">
        <v>1301</v>
      </c>
      <c r="N393">
        <v>72120</v>
      </c>
      <c r="O393">
        <v>10466</v>
      </c>
      <c r="P393" t="s">
        <v>1310</v>
      </c>
      <c r="Q393" t="s">
        <v>1328</v>
      </c>
      <c r="AA393">
        <v>0</v>
      </c>
      <c r="AB393">
        <v>0</v>
      </c>
      <c r="AD393">
        <v>0</v>
      </c>
      <c r="AE393">
        <v>0</v>
      </c>
      <c r="AF393">
        <v>0</v>
      </c>
      <c r="AG393">
        <v>0</v>
      </c>
    </row>
    <row r="394" spans="1:33">
      <c r="A394" s="1">
        <f>HYPERLINK("https://lsnyc.legalserver.org/matter/dynamic-profile/view/1908591","19-1908591")</f>
        <v>0</v>
      </c>
      <c r="B394" t="s">
        <v>34</v>
      </c>
      <c r="C394" t="s">
        <v>39</v>
      </c>
      <c r="D394" t="s">
        <v>395</v>
      </c>
      <c r="E394" t="s">
        <v>891</v>
      </c>
      <c r="F394">
        <v>2093</v>
      </c>
      <c r="I394" t="s">
        <v>1298</v>
      </c>
      <c r="J394">
        <v>4</v>
      </c>
      <c r="K394">
        <v>0</v>
      </c>
      <c r="L394">
        <v>0</v>
      </c>
      <c r="N394">
        <v>87600</v>
      </c>
      <c r="O394">
        <v>11413</v>
      </c>
      <c r="P394" t="s">
        <v>1308</v>
      </c>
      <c r="Q394" t="s">
        <v>1315</v>
      </c>
      <c r="S394" t="s">
        <v>1333</v>
      </c>
      <c r="AA394">
        <v>0</v>
      </c>
      <c r="AB394">
        <v>0</v>
      </c>
      <c r="AD394">
        <v>0</v>
      </c>
      <c r="AE394">
        <v>0</v>
      </c>
      <c r="AF394">
        <v>0</v>
      </c>
      <c r="AG394">
        <v>0</v>
      </c>
    </row>
    <row r="395" spans="1:33">
      <c r="A395" s="1">
        <f>HYPERLINK("https://lsnyc.legalserver.org/matter/dynamic-profile/view/1908604","19-1908604")</f>
        <v>0</v>
      </c>
      <c r="B395" t="s">
        <v>34</v>
      </c>
      <c r="C395" t="s">
        <v>65</v>
      </c>
      <c r="D395" t="s">
        <v>396</v>
      </c>
      <c r="E395" t="s">
        <v>926</v>
      </c>
      <c r="F395">
        <v>2093</v>
      </c>
      <c r="G395" t="s">
        <v>1270</v>
      </c>
      <c r="I395" t="s">
        <v>1298</v>
      </c>
      <c r="J395">
        <v>4</v>
      </c>
      <c r="K395">
        <v>2</v>
      </c>
      <c r="L395">
        <v>0</v>
      </c>
      <c r="M395" t="s">
        <v>1301</v>
      </c>
      <c r="N395">
        <v>64298</v>
      </c>
      <c r="O395">
        <v>11413</v>
      </c>
      <c r="P395" t="s">
        <v>1308</v>
      </c>
      <c r="Q395" t="s">
        <v>1315</v>
      </c>
      <c r="S395" t="s">
        <v>1333</v>
      </c>
      <c r="T395" t="s">
        <v>1340</v>
      </c>
      <c r="AA395">
        <v>0</v>
      </c>
      <c r="AB395">
        <v>0</v>
      </c>
      <c r="AD395">
        <v>0</v>
      </c>
      <c r="AE395">
        <v>0</v>
      </c>
      <c r="AF395">
        <v>0</v>
      </c>
      <c r="AG395">
        <v>0</v>
      </c>
    </row>
    <row r="396" spans="1:33">
      <c r="A396" s="1">
        <f>HYPERLINK("https://lsnyc.legalserver.org/matter/dynamic-profile/view/1908697","19-1908697")</f>
        <v>0</v>
      </c>
      <c r="B396" t="s">
        <v>36</v>
      </c>
      <c r="C396" t="s">
        <v>58</v>
      </c>
      <c r="D396" t="s">
        <v>323</v>
      </c>
      <c r="E396" t="s">
        <v>807</v>
      </c>
      <c r="F396">
        <v>2094</v>
      </c>
      <c r="G396" t="s">
        <v>1230</v>
      </c>
      <c r="I396" t="s">
        <v>1298</v>
      </c>
      <c r="J396">
        <v>1</v>
      </c>
      <c r="K396">
        <v>0</v>
      </c>
      <c r="L396">
        <v>0</v>
      </c>
      <c r="M396" t="s">
        <v>1302</v>
      </c>
      <c r="N396">
        <v>39588</v>
      </c>
      <c r="O396">
        <v>10466</v>
      </c>
      <c r="P396" t="s">
        <v>1310</v>
      </c>
      <c r="Q396" t="s">
        <v>1314</v>
      </c>
      <c r="R396" t="s">
        <v>1315</v>
      </c>
      <c r="S396" t="s">
        <v>1337</v>
      </c>
      <c r="W396" t="s">
        <v>1366</v>
      </c>
      <c r="AA396">
        <v>0</v>
      </c>
      <c r="AB396">
        <v>0</v>
      </c>
      <c r="AD396">
        <v>0</v>
      </c>
      <c r="AE396">
        <v>0</v>
      </c>
      <c r="AF396">
        <v>0</v>
      </c>
      <c r="AG396">
        <v>0</v>
      </c>
    </row>
    <row r="397" spans="1:33">
      <c r="A397" s="1">
        <f>HYPERLINK("https://lsnyc.legalserver.org/matter/dynamic-profile/view/1908864","19-1908864")</f>
        <v>0</v>
      </c>
      <c r="B397" t="s">
        <v>34</v>
      </c>
      <c r="C397" t="s">
        <v>39</v>
      </c>
      <c r="D397" t="s">
        <v>397</v>
      </c>
      <c r="E397" t="s">
        <v>927</v>
      </c>
      <c r="F397">
        <v>2093</v>
      </c>
      <c r="I397" t="s">
        <v>1298</v>
      </c>
      <c r="J397">
        <v>3</v>
      </c>
      <c r="K397">
        <v>0</v>
      </c>
      <c r="L397">
        <v>0</v>
      </c>
      <c r="N397">
        <v>75426</v>
      </c>
      <c r="O397">
        <v>11412</v>
      </c>
      <c r="P397" t="s">
        <v>1308</v>
      </c>
      <c r="Q397" t="s">
        <v>1315</v>
      </c>
      <c r="R397" t="s">
        <v>1325</v>
      </c>
      <c r="S397" t="s">
        <v>1338</v>
      </c>
      <c r="AA397">
        <v>0</v>
      </c>
      <c r="AB397">
        <v>0</v>
      </c>
      <c r="AD397">
        <v>0</v>
      </c>
      <c r="AE397">
        <v>0</v>
      </c>
      <c r="AF397">
        <v>0</v>
      </c>
      <c r="AG397">
        <v>0</v>
      </c>
    </row>
    <row r="398" spans="1:33">
      <c r="A398" s="1">
        <f>HYPERLINK("https://lsnyc.legalserver.org/matter/dynamic-profile/view/1908933","19-1908933")</f>
        <v>0</v>
      </c>
      <c r="B398" t="s">
        <v>36</v>
      </c>
      <c r="C398" t="s">
        <v>59</v>
      </c>
      <c r="D398" t="s">
        <v>398</v>
      </c>
      <c r="E398" t="s">
        <v>928</v>
      </c>
      <c r="F398">
        <v>2094</v>
      </c>
      <c r="G398" t="s">
        <v>1185</v>
      </c>
      <c r="I398" t="s">
        <v>1298</v>
      </c>
      <c r="J398">
        <v>1</v>
      </c>
      <c r="K398">
        <v>0</v>
      </c>
      <c r="L398">
        <v>1</v>
      </c>
      <c r="M398" t="s">
        <v>1301</v>
      </c>
      <c r="N398">
        <v>75172.56</v>
      </c>
      <c r="O398">
        <v>10473</v>
      </c>
      <c r="P398" t="s">
        <v>1310</v>
      </c>
      <c r="Q398" t="s">
        <v>1320</v>
      </c>
      <c r="S398" t="s">
        <v>1337</v>
      </c>
      <c r="AA398">
        <v>0</v>
      </c>
      <c r="AB398">
        <v>0</v>
      </c>
      <c r="AD398">
        <v>0</v>
      </c>
      <c r="AE398">
        <v>0</v>
      </c>
      <c r="AF398">
        <v>0</v>
      </c>
      <c r="AG398">
        <v>0</v>
      </c>
    </row>
    <row r="399" spans="1:33">
      <c r="A399" s="1">
        <f>HYPERLINK("https://lsnyc.legalserver.org/matter/dynamic-profile/view/1909413","19-1909413")</f>
        <v>0</v>
      </c>
      <c r="B399" t="s">
        <v>35</v>
      </c>
      <c r="C399" t="s">
        <v>69</v>
      </c>
      <c r="D399" t="s">
        <v>357</v>
      </c>
      <c r="E399" t="s">
        <v>929</v>
      </c>
      <c r="F399">
        <v>2091</v>
      </c>
      <c r="I399" t="s">
        <v>1298</v>
      </c>
      <c r="J399">
        <v>1</v>
      </c>
      <c r="K399">
        <v>0</v>
      </c>
      <c r="L399">
        <v>0</v>
      </c>
      <c r="M399" t="s">
        <v>1305</v>
      </c>
      <c r="N399">
        <v>10752</v>
      </c>
      <c r="O399">
        <v>11210</v>
      </c>
      <c r="P399" t="s">
        <v>1309</v>
      </c>
      <c r="Q399" t="s">
        <v>1322</v>
      </c>
      <c r="S399" t="s">
        <v>1337</v>
      </c>
      <c r="T399" t="s">
        <v>1334</v>
      </c>
      <c r="AA399">
        <v>0</v>
      </c>
      <c r="AB399">
        <v>0</v>
      </c>
      <c r="AD399">
        <v>0</v>
      </c>
      <c r="AE399">
        <v>0</v>
      </c>
      <c r="AF399">
        <v>0</v>
      </c>
      <c r="AG399">
        <v>0</v>
      </c>
    </row>
    <row r="400" spans="1:33">
      <c r="A400" s="1">
        <f>HYPERLINK("https://lsnyc.legalserver.org/matter/dynamic-profile/view/1909424","19-1909424")</f>
        <v>0</v>
      </c>
      <c r="B400" t="s">
        <v>36</v>
      </c>
      <c r="C400" t="s">
        <v>59</v>
      </c>
      <c r="D400" t="s">
        <v>399</v>
      </c>
      <c r="E400" t="s">
        <v>930</v>
      </c>
      <c r="F400">
        <v>2094</v>
      </c>
      <c r="G400" t="s">
        <v>1271</v>
      </c>
      <c r="I400" t="s">
        <v>1298</v>
      </c>
      <c r="J400">
        <v>1</v>
      </c>
      <c r="K400">
        <v>0</v>
      </c>
      <c r="L400">
        <v>0</v>
      </c>
      <c r="M400" t="s">
        <v>1302</v>
      </c>
      <c r="N400">
        <v>30000</v>
      </c>
      <c r="O400">
        <v>10470</v>
      </c>
      <c r="P400" t="s">
        <v>1310</v>
      </c>
      <c r="Q400" t="s">
        <v>1315</v>
      </c>
      <c r="S400" t="s">
        <v>1338</v>
      </c>
      <c r="AA400">
        <v>0</v>
      </c>
      <c r="AB400">
        <v>0</v>
      </c>
      <c r="AD400">
        <v>0</v>
      </c>
      <c r="AE400">
        <v>0</v>
      </c>
      <c r="AF400">
        <v>0</v>
      </c>
      <c r="AG400">
        <v>0</v>
      </c>
    </row>
    <row r="401" spans="1:33">
      <c r="A401" s="1">
        <f>HYPERLINK("https://lsnyc.legalserver.org/matter/dynamic-profile/view/1909483","19-1909483")</f>
        <v>0</v>
      </c>
      <c r="B401" t="s">
        <v>36</v>
      </c>
      <c r="C401" t="s">
        <v>59</v>
      </c>
      <c r="D401" t="s">
        <v>400</v>
      </c>
      <c r="E401" t="s">
        <v>931</v>
      </c>
      <c r="F401">
        <v>2094</v>
      </c>
      <c r="G401" t="s">
        <v>1225</v>
      </c>
      <c r="I401" t="s">
        <v>1298</v>
      </c>
      <c r="J401">
        <v>2</v>
      </c>
      <c r="K401">
        <v>2</v>
      </c>
      <c r="L401">
        <v>0</v>
      </c>
      <c r="M401" t="s">
        <v>1304</v>
      </c>
      <c r="N401">
        <v>132900</v>
      </c>
      <c r="O401">
        <v>10469</v>
      </c>
      <c r="P401" t="s">
        <v>1310</v>
      </c>
      <c r="Q401" t="s">
        <v>1315</v>
      </c>
      <c r="S401" t="s">
        <v>1332</v>
      </c>
      <c r="W401" t="s">
        <v>1373</v>
      </c>
      <c r="AA401">
        <v>0</v>
      </c>
      <c r="AB401">
        <v>0</v>
      </c>
      <c r="AD401">
        <v>0</v>
      </c>
      <c r="AE401">
        <v>0</v>
      </c>
      <c r="AF401">
        <v>0</v>
      </c>
      <c r="AG401">
        <v>0</v>
      </c>
    </row>
    <row r="402" spans="1:33">
      <c r="A402" s="1">
        <f>HYPERLINK("https://lsnyc.legalserver.org/matter/dynamic-profile/view/1909857","19-1909857")</f>
        <v>0</v>
      </c>
      <c r="B402" t="s">
        <v>34</v>
      </c>
      <c r="C402" t="s">
        <v>64</v>
      </c>
      <c r="D402" t="s">
        <v>401</v>
      </c>
      <c r="E402" t="s">
        <v>932</v>
      </c>
      <c r="F402">
        <v>2093</v>
      </c>
      <c r="I402" t="s">
        <v>1298</v>
      </c>
      <c r="J402">
        <v>1</v>
      </c>
      <c r="K402">
        <v>0</v>
      </c>
      <c r="L402">
        <v>0</v>
      </c>
      <c r="N402">
        <v>0</v>
      </c>
      <c r="O402">
        <v>11412</v>
      </c>
      <c r="P402" t="s">
        <v>1308</v>
      </c>
      <c r="Q402" t="s">
        <v>1322</v>
      </c>
      <c r="S402" t="s">
        <v>1336</v>
      </c>
      <c r="AA402">
        <v>0</v>
      </c>
      <c r="AB402">
        <v>0</v>
      </c>
      <c r="AD402">
        <v>0</v>
      </c>
      <c r="AE402">
        <v>0</v>
      </c>
      <c r="AF402">
        <v>0</v>
      </c>
      <c r="AG402">
        <v>0</v>
      </c>
    </row>
    <row r="403" spans="1:33">
      <c r="A403" s="1">
        <f>HYPERLINK("https://lsnyc.legalserver.org/matter/dynamic-profile/view/1910838","19-1910838")</f>
        <v>0</v>
      </c>
      <c r="B403" t="s">
        <v>34</v>
      </c>
      <c r="C403" t="s">
        <v>49</v>
      </c>
      <c r="D403" t="s">
        <v>402</v>
      </c>
      <c r="E403" t="s">
        <v>933</v>
      </c>
      <c r="F403">
        <v>2093</v>
      </c>
      <c r="I403" t="s">
        <v>1298</v>
      </c>
      <c r="J403">
        <v>2</v>
      </c>
      <c r="K403">
        <v>0</v>
      </c>
      <c r="L403">
        <v>0</v>
      </c>
      <c r="N403">
        <v>67000</v>
      </c>
      <c r="O403">
        <v>11411</v>
      </c>
      <c r="P403" t="s">
        <v>1308</v>
      </c>
      <c r="Q403" t="s">
        <v>1319</v>
      </c>
      <c r="S403" t="s">
        <v>1338</v>
      </c>
      <c r="AA403">
        <v>0</v>
      </c>
      <c r="AB403">
        <v>0</v>
      </c>
      <c r="AD403">
        <v>0</v>
      </c>
      <c r="AE403">
        <v>0</v>
      </c>
      <c r="AF403">
        <v>0</v>
      </c>
      <c r="AG403">
        <v>0</v>
      </c>
    </row>
    <row r="404" spans="1:33">
      <c r="A404" s="1">
        <f>HYPERLINK("https://lsnyc.legalserver.org/matter/dynamic-profile/view/1911075","19-1911075")</f>
        <v>0</v>
      </c>
      <c r="B404" t="s">
        <v>34</v>
      </c>
      <c r="C404" t="s">
        <v>49</v>
      </c>
      <c r="D404" t="s">
        <v>403</v>
      </c>
      <c r="E404" t="s">
        <v>934</v>
      </c>
      <c r="F404">
        <v>2093</v>
      </c>
      <c r="I404" t="s">
        <v>1298</v>
      </c>
      <c r="J404">
        <v>1</v>
      </c>
      <c r="K404">
        <v>0</v>
      </c>
      <c r="L404">
        <v>0</v>
      </c>
      <c r="M404" t="s">
        <v>1301</v>
      </c>
      <c r="N404">
        <v>35000</v>
      </c>
      <c r="O404">
        <v>11434</v>
      </c>
      <c r="P404" t="s">
        <v>1308</v>
      </c>
      <c r="Q404" t="s">
        <v>1315</v>
      </c>
      <c r="S404" t="s">
        <v>1336</v>
      </c>
      <c r="W404" t="s">
        <v>1366</v>
      </c>
      <c r="AA404">
        <v>0</v>
      </c>
      <c r="AB404">
        <v>0</v>
      </c>
      <c r="AD404">
        <v>0</v>
      </c>
      <c r="AE404">
        <v>0</v>
      </c>
      <c r="AF404">
        <v>0</v>
      </c>
      <c r="AG404">
        <v>0</v>
      </c>
    </row>
    <row r="405" spans="1:33">
      <c r="A405" s="1">
        <f>HYPERLINK("https://lsnyc.legalserver.org/matter/dynamic-profile/view/1910961","19-1910961")</f>
        <v>0</v>
      </c>
      <c r="B405" t="s">
        <v>35</v>
      </c>
      <c r="C405" t="s">
        <v>40</v>
      </c>
      <c r="D405" t="s">
        <v>404</v>
      </c>
      <c r="E405" t="s">
        <v>935</v>
      </c>
      <c r="F405">
        <v>2091</v>
      </c>
      <c r="G405" t="s">
        <v>1197</v>
      </c>
      <c r="H405" t="s">
        <v>1214</v>
      </c>
      <c r="I405" t="s">
        <v>1298</v>
      </c>
      <c r="J405">
        <v>2</v>
      </c>
      <c r="K405">
        <v>0</v>
      </c>
      <c r="L405">
        <v>0</v>
      </c>
      <c r="M405" t="s">
        <v>1302</v>
      </c>
      <c r="N405">
        <v>93600</v>
      </c>
      <c r="O405">
        <v>11233</v>
      </c>
      <c r="P405" t="s">
        <v>1309</v>
      </c>
      <c r="Q405" t="s">
        <v>1315</v>
      </c>
      <c r="R405" t="s">
        <v>1321</v>
      </c>
      <c r="S405" t="s">
        <v>1332</v>
      </c>
      <c r="T405" t="s">
        <v>1336</v>
      </c>
      <c r="W405" t="s">
        <v>1361</v>
      </c>
      <c r="Y405" t="s">
        <v>1366</v>
      </c>
      <c r="AA405">
        <v>0</v>
      </c>
      <c r="AB405">
        <v>0</v>
      </c>
      <c r="AD405">
        <v>0</v>
      </c>
      <c r="AE405">
        <v>0</v>
      </c>
      <c r="AF405">
        <v>0</v>
      </c>
      <c r="AG405">
        <v>0</v>
      </c>
    </row>
    <row r="406" spans="1:33">
      <c r="A406" s="1">
        <f>HYPERLINK("https://lsnyc.legalserver.org/matter/dynamic-profile/view/1911138","19-1911138")</f>
        <v>0</v>
      </c>
      <c r="B406" t="s">
        <v>36</v>
      </c>
      <c r="C406" t="s">
        <v>46</v>
      </c>
      <c r="D406" t="s">
        <v>405</v>
      </c>
      <c r="E406" t="s">
        <v>936</v>
      </c>
      <c r="F406">
        <v>2094</v>
      </c>
      <c r="G406" t="s">
        <v>1181</v>
      </c>
      <c r="I406" t="s">
        <v>1298</v>
      </c>
      <c r="J406">
        <v>3</v>
      </c>
      <c r="K406">
        <v>2</v>
      </c>
      <c r="L406">
        <v>1</v>
      </c>
      <c r="M406" t="s">
        <v>1303</v>
      </c>
      <c r="N406">
        <v>114000</v>
      </c>
      <c r="O406">
        <v>10473</v>
      </c>
      <c r="P406" t="s">
        <v>1310</v>
      </c>
      <c r="Q406" t="s">
        <v>1326</v>
      </c>
      <c r="S406" t="s">
        <v>1332</v>
      </c>
      <c r="AA406">
        <v>0</v>
      </c>
      <c r="AB406">
        <v>0</v>
      </c>
      <c r="AD406">
        <v>0</v>
      </c>
      <c r="AE406">
        <v>0</v>
      </c>
      <c r="AF406">
        <v>0</v>
      </c>
      <c r="AG406">
        <v>0</v>
      </c>
    </row>
    <row r="407" spans="1:33">
      <c r="A407" s="1">
        <f>HYPERLINK("https://lsnyc.legalserver.org/matter/dynamic-profile/view/1911156","19-1911156")</f>
        <v>0</v>
      </c>
      <c r="B407" t="s">
        <v>36</v>
      </c>
      <c r="C407" t="s">
        <v>46</v>
      </c>
      <c r="D407" t="s">
        <v>406</v>
      </c>
      <c r="E407" t="s">
        <v>937</v>
      </c>
      <c r="F407">
        <v>2094</v>
      </c>
      <c r="G407" t="s">
        <v>1230</v>
      </c>
      <c r="I407" t="s">
        <v>1298</v>
      </c>
      <c r="J407">
        <v>2</v>
      </c>
      <c r="K407">
        <v>0</v>
      </c>
      <c r="L407">
        <v>0</v>
      </c>
      <c r="M407" t="s">
        <v>1305</v>
      </c>
      <c r="N407">
        <v>47153.76</v>
      </c>
      <c r="O407">
        <v>10465</v>
      </c>
      <c r="P407" t="s">
        <v>1310</v>
      </c>
      <c r="Q407" t="s">
        <v>1331</v>
      </c>
      <c r="S407" t="s">
        <v>1332</v>
      </c>
      <c r="AA407">
        <v>0</v>
      </c>
      <c r="AB407">
        <v>0</v>
      </c>
      <c r="AD407">
        <v>0</v>
      </c>
      <c r="AE407">
        <v>0</v>
      </c>
      <c r="AF407">
        <v>0</v>
      </c>
      <c r="AG407">
        <v>0</v>
      </c>
    </row>
    <row r="408" spans="1:33">
      <c r="A408" s="1">
        <f>HYPERLINK("https://lsnyc.legalserver.org/matter/dynamic-profile/view/1911339","19-1911339")</f>
        <v>0</v>
      </c>
      <c r="B408" t="s">
        <v>35</v>
      </c>
      <c r="C408" t="s">
        <v>55</v>
      </c>
      <c r="D408" t="s">
        <v>407</v>
      </c>
      <c r="E408" t="s">
        <v>801</v>
      </c>
      <c r="F408">
        <v>2091</v>
      </c>
      <c r="G408" t="s">
        <v>1223</v>
      </c>
      <c r="I408" t="s">
        <v>1298</v>
      </c>
      <c r="J408">
        <v>2</v>
      </c>
      <c r="K408">
        <v>1</v>
      </c>
      <c r="L408">
        <v>0</v>
      </c>
      <c r="M408" t="s">
        <v>1301</v>
      </c>
      <c r="N408">
        <v>3612</v>
      </c>
      <c r="O408">
        <v>11203</v>
      </c>
      <c r="P408" t="s">
        <v>1309</v>
      </c>
      <c r="Q408" t="s">
        <v>1319</v>
      </c>
      <c r="R408" t="s">
        <v>1316</v>
      </c>
      <c r="S408" t="s">
        <v>1333</v>
      </c>
      <c r="AA408">
        <v>0</v>
      </c>
      <c r="AB408">
        <v>0</v>
      </c>
      <c r="AD408">
        <v>0</v>
      </c>
      <c r="AE408">
        <v>0</v>
      </c>
      <c r="AF408">
        <v>0</v>
      </c>
      <c r="AG408">
        <v>0</v>
      </c>
    </row>
    <row r="409" spans="1:33">
      <c r="A409" s="1">
        <f>HYPERLINK("https://lsnyc.legalserver.org/matter/dynamic-profile/view/1911530","19-1911530")</f>
        <v>0</v>
      </c>
      <c r="B409" t="s">
        <v>34</v>
      </c>
      <c r="C409" t="s">
        <v>54</v>
      </c>
      <c r="D409" t="s">
        <v>323</v>
      </c>
      <c r="E409" t="s">
        <v>938</v>
      </c>
      <c r="F409">
        <v>2093</v>
      </c>
      <c r="I409" t="s">
        <v>1298</v>
      </c>
      <c r="J409">
        <v>1</v>
      </c>
      <c r="K409">
        <v>0</v>
      </c>
      <c r="L409">
        <v>0</v>
      </c>
      <c r="M409" t="s">
        <v>1301</v>
      </c>
      <c r="N409">
        <v>85000</v>
      </c>
      <c r="O409">
        <v>11412</v>
      </c>
      <c r="P409" t="s">
        <v>1308</v>
      </c>
      <c r="Q409" t="s">
        <v>1325</v>
      </c>
      <c r="S409" t="s">
        <v>1332</v>
      </c>
      <c r="W409" t="s">
        <v>1361</v>
      </c>
      <c r="AA409">
        <v>0</v>
      </c>
      <c r="AB409">
        <v>0</v>
      </c>
      <c r="AD409">
        <v>0</v>
      </c>
      <c r="AE409">
        <v>0</v>
      </c>
      <c r="AF409">
        <v>0</v>
      </c>
      <c r="AG409">
        <v>0</v>
      </c>
    </row>
    <row r="410" spans="1:33">
      <c r="A410" s="1">
        <f>HYPERLINK("https://lsnyc.legalserver.org/matter/dynamic-profile/view/1911551","19-1911551")</f>
        <v>0</v>
      </c>
      <c r="B410" t="s">
        <v>33</v>
      </c>
      <c r="C410" t="s">
        <v>70</v>
      </c>
      <c r="D410" t="s">
        <v>408</v>
      </c>
      <c r="E410" t="s">
        <v>807</v>
      </c>
      <c r="F410">
        <v>2090</v>
      </c>
      <c r="G410" t="s">
        <v>1210</v>
      </c>
      <c r="H410" t="s">
        <v>1293</v>
      </c>
      <c r="I410" t="s">
        <v>1298</v>
      </c>
      <c r="J410">
        <v>3</v>
      </c>
      <c r="K410">
        <v>5</v>
      </c>
      <c r="L410">
        <v>0</v>
      </c>
      <c r="N410">
        <v>77526.60000000001</v>
      </c>
      <c r="O410">
        <v>10301</v>
      </c>
      <c r="P410" t="s">
        <v>1307</v>
      </c>
      <c r="Q410" t="s">
        <v>1328</v>
      </c>
      <c r="S410" t="s">
        <v>1337</v>
      </c>
      <c r="AA410">
        <v>0</v>
      </c>
      <c r="AB410">
        <v>0</v>
      </c>
      <c r="AD410">
        <v>0</v>
      </c>
      <c r="AE410">
        <v>0</v>
      </c>
      <c r="AF410">
        <v>0</v>
      </c>
      <c r="AG410">
        <v>0</v>
      </c>
    </row>
    <row r="411" spans="1:33">
      <c r="A411" s="1">
        <f>HYPERLINK("https://lsnyc.legalserver.org/matter/dynamic-profile/view/1911046","19-1911046")</f>
        <v>0</v>
      </c>
      <c r="B411" t="s">
        <v>35</v>
      </c>
      <c r="C411" t="s">
        <v>61</v>
      </c>
      <c r="D411" t="s">
        <v>250</v>
      </c>
      <c r="E411" t="s">
        <v>939</v>
      </c>
      <c r="F411">
        <v>2091</v>
      </c>
      <c r="I411" t="s">
        <v>1298</v>
      </c>
      <c r="J411">
        <v>2</v>
      </c>
      <c r="K411">
        <v>0</v>
      </c>
      <c r="L411">
        <v>0</v>
      </c>
      <c r="N411">
        <v>69480</v>
      </c>
      <c r="O411">
        <v>11207</v>
      </c>
      <c r="P411" t="s">
        <v>1309</v>
      </c>
      <c r="Q411" t="s">
        <v>1329</v>
      </c>
      <c r="S411" t="s">
        <v>1332</v>
      </c>
      <c r="T411" t="s">
        <v>1336</v>
      </c>
      <c r="W411" t="s">
        <v>1361</v>
      </c>
      <c r="AA411">
        <v>0</v>
      </c>
      <c r="AB411">
        <v>0</v>
      </c>
      <c r="AD411">
        <v>0</v>
      </c>
      <c r="AE411">
        <v>0</v>
      </c>
      <c r="AF411">
        <v>0</v>
      </c>
      <c r="AG411">
        <v>0</v>
      </c>
    </row>
    <row r="412" spans="1:33">
      <c r="A412" s="1">
        <f>HYPERLINK("https://lsnyc.legalserver.org/matter/dynamic-profile/view/1911418","19-1911418")</f>
        <v>0</v>
      </c>
      <c r="B412" t="s">
        <v>35</v>
      </c>
      <c r="C412" t="s">
        <v>61</v>
      </c>
      <c r="D412" t="s">
        <v>345</v>
      </c>
      <c r="E412" t="s">
        <v>940</v>
      </c>
      <c r="F412">
        <v>2091</v>
      </c>
      <c r="I412" t="s">
        <v>1298</v>
      </c>
      <c r="J412">
        <v>1</v>
      </c>
      <c r="K412">
        <v>0</v>
      </c>
      <c r="L412">
        <v>0</v>
      </c>
      <c r="M412" t="s">
        <v>1302</v>
      </c>
      <c r="N412">
        <v>79000</v>
      </c>
      <c r="O412">
        <v>11233</v>
      </c>
      <c r="P412" t="s">
        <v>1309</v>
      </c>
      <c r="Q412" t="s">
        <v>1319</v>
      </c>
      <c r="R412" t="s">
        <v>1321</v>
      </c>
      <c r="S412" t="s">
        <v>1332</v>
      </c>
      <c r="T412" t="s">
        <v>1336</v>
      </c>
      <c r="W412" t="s">
        <v>1361</v>
      </c>
      <c r="AA412">
        <v>0</v>
      </c>
      <c r="AB412">
        <v>0</v>
      </c>
      <c r="AD412">
        <v>0</v>
      </c>
      <c r="AE412">
        <v>0</v>
      </c>
      <c r="AF412">
        <v>0</v>
      </c>
      <c r="AG412">
        <v>0</v>
      </c>
    </row>
    <row r="413" spans="1:33">
      <c r="A413" s="1">
        <f>HYPERLINK("https://lsnyc.legalserver.org/matter/dynamic-profile/view/1911670","19-1911670")</f>
        <v>0</v>
      </c>
      <c r="B413" t="s">
        <v>35</v>
      </c>
      <c r="C413" t="s">
        <v>51</v>
      </c>
      <c r="D413" t="s">
        <v>409</v>
      </c>
      <c r="E413" t="s">
        <v>941</v>
      </c>
      <c r="F413">
        <v>2091</v>
      </c>
      <c r="G413" t="s">
        <v>1207</v>
      </c>
      <c r="I413" t="s">
        <v>1298</v>
      </c>
      <c r="J413">
        <v>1</v>
      </c>
      <c r="K413">
        <v>0</v>
      </c>
      <c r="L413">
        <v>0</v>
      </c>
      <c r="M413" t="s">
        <v>1302</v>
      </c>
      <c r="N413">
        <v>19200</v>
      </c>
      <c r="O413">
        <v>11225</v>
      </c>
      <c r="P413" t="s">
        <v>1309</v>
      </c>
      <c r="Q413" t="s">
        <v>1319</v>
      </c>
      <c r="S413" t="s">
        <v>1338</v>
      </c>
      <c r="AA413">
        <v>0</v>
      </c>
      <c r="AB413">
        <v>0</v>
      </c>
      <c r="AD413">
        <v>0</v>
      </c>
      <c r="AE413">
        <v>0</v>
      </c>
      <c r="AF413">
        <v>0</v>
      </c>
      <c r="AG413">
        <v>0</v>
      </c>
    </row>
    <row r="414" spans="1:33">
      <c r="A414" s="1">
        <f>HYPERLINK("https://lsnyc.legalserver.org/matter/dynamic-profile/view/1911682","19-1911682")</f>
        <v>0</v>
      </c>
      <c r="B414" t="s">
        <v>36</v>
      </c>
      <c r="C414" t="s">
        <v>46</v>
      </c>
      <c r="D414" t="s">
        <v>289</v>
      </c>
      <c r="E414" t="s">
        <v>942</v>
      </c>
      <c r="F414">
        <v>2094</v>
      </c>
      <c r="G414" t="s">
        <v>1185</v>
      </c>
      <c r="I414" t="s">
        <v>1298</v>
      </c>
      <c r="J414">
        <v>1</v>
      </c>
      <c r="K414">
        <v>0</v>
      </c>
      <c r="L414">
        <v>0</v>
      </c>
      <c r="M414" t="s">
        <v>1304</v>
      </c>
      <c r="N414">
        <v>72800</v>
      </c>
      <c r="O414">
        <v>10454</v>
      </c>
      <c r="P414" t="s">
        <v>1310</v>
      </c>
      <c r="Q414" t="s">
        <v>1319</v>
      </c>
      <c r="R414" t="s">
        <v>1321</v>
      </c>
      <c r="S414" t="s">
        <v>1337</v>
      </c>
      <c r="T414" t="s">
        <v>1333</v>
      </c>
      <c r="AA414">
        <v>0</v>
      </c>
      <c r="AB414">
        <v>0</v>
      </c>
      <c r="AD414">
        <v>0</v>
      </c>
      <c r="AE414">
        <v>0</v>
      </c>
      <c r="AF414">
        <v>0</v>
      </c>
      <c r="AG414">
        <v>0</v>
      </c>
    </row>
    <row r="415" spans="1:33">
      <c r="A415" s="1">
        <f>HYPERLINK("https://lsnyc.legalserver.org/matter/dynamic-profile/view/1911719","19-1911719")</f>
        <v>0</v>
      </c>
      <c r="B415" t="s">
        <v>36</v>
      </c>
      <c r="C415" t="s">
        <v>46</v>
      </c>
      <c r="D415" t="s">
        <v>410</v>
      </c>
      <c r="E415" t="s">
        <v>943</v>
      </c>
      <c r="F415">
        <v>2094</v>
      </c>
      <c r="G415" t="s">
        <v>1212</v>
      </c>
      <c r="I415" t="s">
        <v>1298</v>
      </c>
      <c r="J415">
        <v>2</v>
      </c>
      <c r="K415">
        <v>0</v>
      </c>
      <c r="L415">
        <v>0</v>
      </c>
      <c r="M415" t="s">
        <v>1301</v>
      </c>
      <c r="N415">
        <v>0</v>
      </c>
      <c r="O415">
        <v>10466</v>
      </c>
      <c r="P415" t="s">
        <v>1310</v>
      </c>
      <c r="Q415" t="s">
        <v>1319</v>
      </c>
      <c r="S415" t="s">
        <v>1337</v>
      </c>
      <c r="W415" t="s">
        <v>1366</v>
      </c>
      <c r="AA415">
        <v>0</v>
      </c>
      <c r="AB415">
        <v>0</v>
      </c>
      <c r="AD415">
        <v>0</v>
      </c>
      <c r="AE415">
        <v>0</v>
      </c>
      <c r="AF415">
        <v>0</v>
      </c>
      <c r="AG415">
        <v>0</v>
      </c>
    </row>
    <row r="416" spans="1:33">
      <c r="A416" s="1">
        <f>HYPERLINK("https://lsnyc.legalserver.org/matter/dynamic-profile/view/1911723","19-1911723")</f>
        <v>0</v>
      </c>
      <c r="B416" t="s">
        <v>34</v>
      </c>
      <c r="C416" t="s">
        <v>44</v>
      </c>
      <c r="D416" t="s">
        <v>411</v>
      </c>
      <c r="E416" t="s">
        <v>944</v>
      </c>
      <c r="F416">
        <v>2093</v>
      </c>
      <c r="G416" t="s">
        <v>1225</v>
      </c>
      <c r="I416" t="s">
        <v>1298</v>
      </c>
      <c r="J416">
        <v>3</v>
      </c>
      <c r="K416">
        <v>2</v>
      </c>
      <c r="L416">
        <v>0</v>
      </c>
      <c r="M416" t="s">
        <v>1301</v>
      </c>
      <c r="N416">
        <v>63352</v>
      </c>
      <c r="O416">
        <v>11420</v>
      </c>
      <c r="P416" t="s">
        <v>1308</v>
      </c>
      <c r="Q416" t="s">
        <v>1315</v>
      </c>
      <c r="S416" t="s">
        <v>1340</v>
      </c>
      <c r="AA416">
        <v>0</v>
      </c>
      <c r="AB416">
        <v>0</v>
      </c>
      <c r="AD416">
        <v>0</v>
      </c>
      <c r="AE416">
        <v>0</v>
      </c>
      <c r="AF416">
        <v>0</v>
      </c>
      <c r="AG416">
        <v>0</v>
      </c>
    </row>
    <row r="417" spans="1:33">
      <c r="A417" s="1">
        <f>HYPERLINK("https://lsnyc.legalserver.org/matter/dynamic-profile/view/1911728","19-1911728")</f>
        <v>0</v>
      </c>
      <c r="B417" t="s">
        <v>36</v>
      </c>
      <c r="C417" t="s">
        <v>46</v>
      </c>
      <c r="D417" t="s">
        <v>412</v>
      </c>
      <c r="E417" t="s">
        <v>929</v>
      </c>
      <c r="F417">
        <v>2094</v>
      </c>
      <c r="G417" t="s">
        <v>1192</v>
      </c>
      <c r="I417" t="s">
        <v>1298</v>
      </c>
      <c r="J417">
        <v>2</v>
      </c>
      <c r="K417">
        <v>0</v>
      </c>
      <c r="L417">
        <v>0</v>
      </c>
      <c r="M417" t="s">
        <v>1304</v>
      </c>
      <c r="N417">
        <v>104800</v>
      </c>
      <c r="O417">
        <v>10451</v>
      </c>
      <c r="P417" t="s">
        <v>1310</v>
      </c>
      <c r="Q417" t="s">
        <v>1314</v>
      </c>
      <c r="R417" t="s">
        <v>1315</v>
      </c>
      <c r="S417" t="s">
        <v>1332</v>
      </c>
      <c r="W417" t="s">
        <v>1361</v>
      </c>
      <c r="AA417">
        <v>0</v>
      </c>
      <c r="AB417">
        <v>0</v>
      </c>
      <c r="AD417">
        <v>0</v>
      </c>
      <c r="AE417">
        <v>0</v>
      </c>
      <c r="AF417">
        <v>0</v>
      </c>
      <c r="AG417">
        <v>0</v>
      </c>
    </row>
    <row r="418" spans="1:33">
      <c r="A418" s="1">
        <f>HYPERLINK("https://lsnyc.legalserver.org/matter/dynamic-profile/view/1907180","19-1907180")</f>
        <v>0</v>
      </c>
      <c r="B418" t="s">
        <v>35</v>
      </c>
      <c r="C418" t="s">
        <v>51</v>
      </c>
      <c r="D418" t="s">
        <v>413</v>
      </c>
      <c r="E418" t="s">
        <v>945</v>
      </c>
      <c r="F418">
        <v>2091</v>
      </c>
      <c r="G418" t="s">
        <v>1185</v>
      </c>
      <c r="I418" t="s">
        <v>1298</v>
      </c>
      <c r="J418">
        <v>2</v>
      </c>
      <c r="K418">
        <v>1</v>
      </c>
      <c r="L418">
        <v>0</v>
      </c>
      <c r="M418" t="s">
        <v>1302</v>
      </c>
      <c r="N418">
        <v>116000</v>
      </c>
      <c r="O418">
        <v>11234</v>
      </c>
      <c r="P418" t="s">
        <v>1309</v>
      </c>
      <c r="Q418" t="s">
        <v>1319</v>
      </c>
      <c r="S418" t="s">
        <v>1335</v>
      </c>
      <c r="T418" t="s">
        <v>1342</v>
      </c>
      <c r="W418" t="s">
        <v>1381</v>
      </c>
      <c r="Y418" t="s">
        <v>1366</v>
      </c>
      <c r="AA418">
        <v>0</v>
      </c>
      <c r="AB418">
        <v>0</v>
      </c>
      <c r="AD418">
        <v>0</v>
      </c>
      <c r="AE418">
        <v>0</v>
      </c>
      <c r="AF418">
        <v>0</v>
      </c>
      <c r="AG418">
        <v>0</v>
      </c>
    </row>
    <row r="419" spans="1:33">
      <c r="A419" s="1">
        <f>HYPERLINK("https://lsnyc.legalserver.org/matter/dynamic-profile/view/1911905","19-1911905")</f>
        <v>0</v>
      </c>
      <c r="B419" t="s">
        <v>35</v>
      </c>
      <c r="C419" t="s">
        <v>61</v>
      </c>
      <c r="D419" t="s">
        <v>270</v>
      </c>
      <c r="E419" t="s">
        <v>946</v>
      </c>
      <c r="F419">
        <v>2091</v>
      </c>
      <c r="I419" t="s">
        <v>1298</v>
      </c>
      <c r="J419">
        <v>2</v>
      </c>
      <c r="K419">
        <v>0</v>
      </c>
      <c r="L419">
        <v>1</v>
      </c>
      <c r="M419" t="s">
        <v>1302</v>
      </c>
      <c r="N419">
        <v>35784</v>
      </c>
      <c r="O419">
        <v>11234</v>
      </c>
      <c r="P419" t="s">
        <v>1309</v>
      </c>
      <c r="Q419" t="s">
        <v>1321</v>
      </c>
      <c r="R419" t="s">
        <v>1321</v>
      </c>
      <c r="S419" t="s">
        <v>1337</v>
      </c>
      <c r="AA419">
        <v>0</v>
      </c>
      <c r="AB419">
        <v>0</v>
      </c>
      <c r="AD419">
        <v>0</v>
      </c>
      <c r="AE419">
        <v>0</v>
      </c>
      <c r="AF419">
        <v>0</v>
      </c>
      <c r="AG419">
        <v>0</v>
      </c>
    </row>
    <row r="420" spans="1:33">
      <c r="A420" s="1">
        <f>HYPERLINK("https://lsnyc.legalserver.org/matter/dynamic-profile/view/1908977","19-1908977")</f>
        <v>0</v>
      </c>
      <c r="B420" t="s">
        <v>35</v>
      </c>
      <c r="C420" t="s">
        <v>55</v>
      </c>
      <c r="D420" t="s">
        <v>414</v>
      </c>
      <c r="E420" t="s">
        <v>947</v>
      </c>
      <c r="F420">
        <v>2091</v>
      </c>
      <c r="G420" t="s">
        <v>1259</v>
      </c>
      <c r="I420" t="s">
        <v>1298</v>
      </c>
      <c r="J420">
        <v>1</v>
      </c>
      <c r="K420">
        <v>0</v>
      </c>
      <c r="L420">
        <v>0</v>
      </c>
      <c r="M420" t="s">
        <v>1302</v>
      </c>
      <c r="N420">
        <v>18000</v>
      </c>
      <c r="O420">
        <v>11207</v>
      </c>
      <c r="P420" t="s">
        <v>1309</v>
      </c>
      <c r="Q420" t="s">
        <v>1319</v>
      </c>
      <c r="S420" t="s">
        <v>1337</v>
      </c>
      <c r="AA420">
        <v>0</v>
      </c>
      <c r="AB420">
        <v>0</v>
      </c>
      <c r="AD420">
        <v>0</v>
      </c>
      <c r="AE420">
        <v>0</v>
      </c>
      <c r="AF420">
        <v>0</v>
      </c>
      <c r="AG420">
        <v>0</v>
      </c>
    </row>
    <row r="421" spans="1:33">
      <c r="A421" s="1">
        <f>HYPERLINK("https://lsnyc.legalserver.org/matter/dynamic-profile/view/1911941","19-1911941")</f>
        <v>0</v>
      </c>
      <c r="B421" t="s">
        <v>34</v>
      </c>
      <c r="C421" t="s">
        <v>57</v>
      </c>
      <c r="D421" t="s">
        <v>209</v>
      </c>
      <c r="E421" t="s">
        <v>614</v>
      </c>
      <c r="F421">
        <v>2093</v>
      </c>
      <c r="I421" t="s">
        <v>1298</v>
      </c>
      <c r="J421">
        <v>1</v>
      </c>
      <c r="K421">
        <v>0</v>
      </c>
      <c r="L421">
        <v>0</v>
      </c>
      <c r="N421">
        <v>19000</v>
      </c>
      <c r="O421">
        <v>11413</v>
      </c>
      <c r="P421" t="s">
        <v>1308</v>
      </c>
      <c r="Q421" t="s">
        <v>1318</v>
      </c>
      <c r="S421" t="s">
        <v>1336</v>
      </c>
      <c r="T421" t="s">
        <v>1342</v>
      </c>
      <c r="AA421">
        <v>0</v>
      </c>
      <c r="AB421">
        <v>0</v>
      </c>
      <c r="AD421">
        <v>0</v>
      </c>
      <c r="AE421">
        <v>0</v>
      </c>
      <c r="AF421">
        <v>0</v>
      </c>
      <c r="AG421">
        <v>0</v>
      </c>
    </row>
    <row r="422" spans="1:33">
      <c r="A422" s="1">
        <f>HYPERLINK("https://lsnyc.legalserver.org/matter/dynamic-profile/view/1912084","19-1912084")</f>
        <v>0</v>
      </c>
      <c r="B422" t="s">
        <v>34</v>
      </c>
      <c r="C422" t="s">
        <v>54</v>
      </c>
      <c r="D422" t="s">
        <v>415</v>
      </c>
      <c r="E422" t="s">
        <v>929</v>
      </c>
      <c r="F422">
        <v>2093</v>
      </c>
      <c r="G422" t="s">
        <v>1272</v>
      </c>
      <c r="I422" t="s">
        <v>1298</v>
      </c>
      <c r="J422">
        <v>1</v>
      </c>
      <c r="K422">
        <v>0</v>
      </c>
      <c r="L422">
        <v>1</v>
      </c>
      <c r="M422" t="s">
        <v>1301</v>
      </c>
      <c r="N422">
        <v>24000</v>
      </c>
      <c r="O422">
        <v>11412</v>
      </c>
      <c r="P422" t="s">
        <v>1308</v>
      </c>
      <c r="Q422" t="s">
        <v>1314</v>
      </c>
      <c r="S422" t="s">
        <v>1336</v>
      </c>
      <c r="AA422">
        <v>0</v>
      </c>
      <c r="AB422">
        <v>0</v>
      </c>
      <c r="AD422">
        <v>0</v>
      </c>
      <c r="AE422">
        <v>0</v>
      </c>
      <c r="AF422">
        <v>0</v>
      </c>
      <c r="AG422">
        <v>0</v>
      </c>
    </row>
    <row r="423" spans="1:33">
      <c r="A423" s="1">
        <f>HYPERLINK("https://lsnyc.legalserver.org/matter/dynamic-profile/view/1912328","19-1912328")</f>
        <v>0</v>
      </c>
      <c r="B423" t="s">
        <v>35</v>
      </c>
      <c r="C423" t="s">
        <v>51</v>
      </c>
      <c r="D423" t="s">
        <v>416</v>
      </c>
      <c r="E423" t="s">
        <v>632</v>
      </c>
      <c r="F423">
        <v>2091</v>
      </c>
      <c r="G423" t="s">
        <v>1185</v>
      </c>
      <c r="I423" t="s">
        <v>1298</v>
      </c>
      <c r="J423">
        <v>2</v>
      </c>
      <c r="K423">
        <v>0</v>
      </c>
      <c r="L423">
        <v>1</v>
      </c>
      <c r="N423">
        <v>39972</v>
      </c>
      <c r="O423">
        <v>11210</v>
      </c>
      <c r="P423" t="s">
        <v>1309</v>
      </c>
      <c r="Q423" t="s">
        <v>1316</v>
      </c>
      <c r="S423" t="s">
        <v>1337</v>
      </c>
      <c r="AA423">
        <v>0</v>
      </c>
      <c r="AB423">
        <v>0</v>
      </c>
      <c r="AD423">
        <v>0</v>
      </c>
      <c r="AE423">
        <v>0</v>
      </c>
      <c r="AF423">
        <v>0</v>
      </c>
      <c r="AG423">
        <v>0</v>
      </c>
    </row>
    <row r="424" spans="1:33">
      <c r="A424" s="1">
        <f>HYPERLINK("https://lsnyc.legalserver.org/matter/dynamic-profile/view/1912184","19-1912184")</f>
        <v>0</v>
      </c>
      <c r="B424" t="s">
        <v>34</v>
      </c>
      <c r="C424" t="s">
        <v>49</v>
      </c>
      <c r="D424" t="s">
        <v>417</v>
      </c>
      <c r="E424" t="s">
        <v>948</v>
      </c>
      <c r="F424">
        <v>2093</v>
      </c>
      <c r="I424" t="s">
        <v>1298</v>
      </c>
      <c r="J424">
        <v>1</v>
      </c>
      <c r="K424">
        <v>0</v>
      </c>
      <c r="L424">
        <v>0</v>
      </c>
      <c r="N424">
        <v>49200</v>
      </c>
      <c r="O424">
        <v>11422</v>
      </c>
      <c r="P424" t="s">
        <v>1308</v>
      </c>
      <c r="Q424" t="s">
        <v>1315</v>
      </c>
      <c r="S424" t="s">
        <v>1332</v>
      </c>
      <c r="W424" t="s">
        <v>1361</v>
      </c>
      <c r="AA424">
        <v>0</v>
      </c>
      <c r="AB424">
        <v>0</v>
      </c>
      <c r="AD424">
        <v>0</v>
      </c>
      <c r="AE424">
        <v>0</v>
      </c>
      <c r="AF424">
        <v>0</v>
      </c>
      <c r="AG424">
        <v>0</v>
      </c>
    </row>
    <row r="425" spans="1:33">
      <c r="A425" s="1">
        <f>HYPERLINK("https://lsnyc.legalserver.org/matter/dynamic-profile/view/1912212","19-1912212")</f>
        <v>0</v>
      </c>
      <c r="B425" t="s">
        <v>36</v>
      </c>
      <c r="C425" t="s">
        <v>46</v>
      </c>
      <c r="D425" t="s">
        <v>418</v>
      </c>
      <c r="E425" t="s">
        <v>949</v>
      </c>
      <c r="F425">
        <v>2094</v>
      </c>
      <c r="G425" t="s">
        <v>1273</v>
      </c>
      <c r="I425" t="s">
        <v>1298</v>
      </c>
      <c r="J425">
        <v>1</v>
      </c>
      <c r="K425">
        <v>0</v>
      </c>
      <c r="L425">
        <v>0</v>
      </c>
      <c r="M425" t="s">
        <v>1303</v>
      </c>
      <c r="N425">
        <v>98000</v>
      </c>
      <c r="O425">
        <v>10462</v>
      </c>
      <c r="P425" t="s">
        <v>1310</v>
      </c>
      <c r="Q425" t="s">
        <v>1314</v>
      </c>
      <c r="S425" t="s">
        <v>1337</v>
      </c>
      <c r="W425" t="s">
        <v>1366</v>
      </c>
      <c r="AA425">
        <v>0</v>
      </c>
      <c r="AB425">
        <v>0</v>
      </c>
      <c r="AD425">
        <v>0</v>
      </c>
      <c r="AE425">
        <v>0</v>
      </c>
      <c r="AF425">
        <v>0</v>
      </c>
      <c r="AG425">
        <v>0</v>
      </c>
    </row>
    <row r="426" spans="1:33">
      <c r="A426" s="1">
        <f>HYPERLINK("https://lsnyc.legalserver.org/matter/dynamic-profile/view/1912225","19-1912225")</f>
        <v>0</v>
      </c>
      <c r="B426" t="s">
        <v>36</v>
      </c>
      <c r="C426" t="s">
        <v>46</v>
      </c>
      <c r="D426" t="s">
        <v>419</v>
      </c>
      <c r="E426" t="s">
        <v>950</v>
      </c>
      <c r="F426">
        <v>2094</v>
      </c>
      <c r="G426" t="s">
        <v>1200</v>
      </c>
      <c r="I426" t="s">
        <v>1298</v>
      </c>
      <c r="J426">
        <v>3</v>
      </c>
      <c r="K426">
        <v>0</v>
      </c>
      <c r="L426">
        <v>1</v>
      </c>
      <c r="M426" t="s">
        <v>1305</v>
      </c>
      <c r="N426">
        <v>114000</v>
      </c>
      <c r="O426">
        <v>10468</v>
      </c>
      <c r="P426" t="s">
        <v>1310</v>
      </c>
      <c r="Q426" t="s">
        <v>1320</v>
      </c>
      <c r="S426" t="s">
        <v>1337</v>
      </c>
      <c r="W426" t="s">
        <v>1366</v>
      </c>
      <c r="AA426">
        <v>0</v>
      </c>
      <c r="AB426">
        <v>0</v>
      </c>
      <c r="AD426">
        <v>0</v>
      </c>
      <c r="AE426">
        <v>0</v>
      </c>
      <c r="AF426">
        <v>0</v>
      </c>
      <c r="AG426">
        <v>0</v>
      </c>
    </row>
    <row r="427" spans="1:33">
      <c r="A427" s="1">
        <f>HYPERLINK("https://lsnyc.legalserver.org/matter/dynamic-profile/view/1912238","19-1912238")</f>
        <v>0</v>
      </c>
      <c r="B427" t="s">
        <v>34</v>
      </c>
      <c r="C427" t="s">
        <v>65</v>
      </c>
      <c r="D427" t="s">
        <v>420</v>
      </c>
      <c r="E427" t="s">
        <v>951</v>
      </c>
      <c r="F427">
        <v>2093</v>
      </c>
      <c r="G427" t="s">
        <v>1224</v>
      </c>
      <c r="I427" t="s">
        <v>1298</v>
      </c>
      <c r="J427">
        <v>1</v>
      </c>
      <c r="K427">
        <v>0</v>
      </c>
      <c r="L427">
        <v>1</v>
      </c>
      <c r="M427" t="s">
        <v>1301</v>
      </c>
      <c r="N427">
        <v>26400</v>
      </c>
      <c r="O427">
        <v>11423</v>
      </c>
      <c r="P427" t="s">
        <v>1308</v>
      </c>
      <c r="Q427" t="s">
        <v>1324</v>
      </c>
      <c r="S427" t="s">
        <v>1337</v>
      </c>
      <c r="AA427">
        <v>0</v>
      </c>
      <c r="AB427">
        <v>0</v>
      </c>
      <c r="AD427">
        <v>0</v>
      </c>
      <c r="AE427">
        <v>0</v>
      </c>
      <c r="AF427">
        <v>0</v>
      </c>
      <c r="AG427">
        <v>0</v>
      </c>
    </row>
    <row r="428" spans="1:33">
      <c r="A428" s="1">
        <f>HYPERLINK("https://lsnyc.legalserver.org/matter/dynamic-profile/view/1912240","19-1912240")</f>
        <v>0</v>
      </c>
      <c r="B428" t="s">
        <v>35</v>
      </c>
      <c r="C428" t="s">
        <v>40</v>
      </c>
      <c r="D428" t="s">
        <v>321</v>
      </c>
      <c r="E428" t="s">
        <v>952</v>
      </c>
      <c r="F428">
        <v>2091</v>
      </c>
      <c r="I428" t="s">
        <v>1298</v>
      </c>
      <c r="J428">
        <v>2</v>
      </c>
      <c r="K428">
        <v>2</v>
      </c>
      <c r="L428">
        <v>0</v>
      </c>
      <c r="M428" t="s">
        <v>1302</v>
      </c>
      <c r="N428">
        <v>30400</v>
      </c>
      <c r="O428">
        <v>11212</v>
      </c>
      <c r="P428" t="s">
        <v>1309</v>
      </c>
      <c r="Q428" t="s">
        <v>1329</v>
      </c>
      <c r="S428" t="s">
        <v>1337</v>
      </c>
      <c r="AA428">
        <v>0</v>
      </c>
      <c r="AB428">
        <v>0</v>
      </c>
      <c r="AD428">
        <v>0</v>
      </c>
      <c r="AE428">
        <v>0</v>
      </c>
      <c r="AF428">
        <v>0</v>
      </c>
      <c r="AG428">
        <v>0</v>
      </c>
    </row>
    <row r="429" spans="1:33">
      <c r="A429" s="1">
        <f>HYPERLINK("https://lsnyc.legalserver.org/matter/dynamic-profile/view/1911971","19-1911971")</f>
        <v>0</v>
      </c>
      <c r="B429" t="s">
        <v>35</v>
      </c>
      <c r="C429" t="s">
        <v>51</v>
      </c>
      <c r="D429" t="s">
        <v>351</v>
      </c>
      <c r="E429" t="s">
        <v>953</v>
      </c>
      <c r="F429">
        <v>2091</v>
      </c>
      <c r="G429" t="s">
        <v>1179</v>
      </c>
      <c r="I429" t="s">
        <v>1298</v>
      </c>
      <c r="J429">
        <v>3</v>
      </c>
      <c r="K429">
        <v>1</v>
      </c>
      <c r="L429">
        <v>0</v>
      </c>
      <c r="N429">
        <v>29336</v>
      </c>
      <c r="O429">
        <v>11234</v>
      </c>
      <c r="P429" t="s">
        <v>1309</v>
      </c>
      <c r="Q429" t="s">
        <v>1315</v>
      </c>
      <c r="S429" t="s">
        <v>1337</v>
      </c>
      <c r="AA429">
        <v>0</v>
      </c>
      <c r="AB429">
        <v>0</v>
      </c>
      <c r="AD429">
        <v>0</v>
      </c>
      <c r="AE429">
        <v>0</v>
      </c>
      <c r="AF429">
        <v>0</v>
      </c>
      <c r="AG429">
        <v>0</v>
      </c>
    </row>
    <row r="430" spans="1:33">
      <c r="A430" s="1">
        <f>HYPERLINK("https://lsnyc.legalserver.org/matter/dynamic-profile/view/1912246","19-1912246")</f>
        <v>0</v>
      </c>
      <c r="B430" t="s">
        <v>33</v>
      </c>
      <c r="C430" t="s">
        <v>70</v>
      </c>
      <c r="D430" t="s">
        <v>421</v>
      </c>
      <c r="E430" t="s">
        <v>954</v>
      </c>
      <c r="F430">
        <v>2090</v>
      </c>
      <c r="I430" t="s">
        <v>1298</v>
      </c>
      <c r="J430">
        <v>2</v>
      </c>
      <c r="K430">
        <v>0</v>
      </c>
      <c r="L430">
        <v>0</v>
      </c>
      <c r="N430">
        <v>49512</v>
      </c>
      <c r="O430">
        <v>10304</v>
      </c>
      <c r="P430" t="s">
        <v>1307</v>
      </c>
      <c r="Q430" t="s">
        <v>1315</v>
      </c>
      <c r="S430" t="s">
        <v>1332</v>
      </c>
      <c r="W430" t="s">
        <v>1361</v>
      </c>
      <c r="Y430" t="s">
        <v>1366</v>
      </c>
      <c r="AA430">
        <v>0</v>
      </c>
      <c r="AB430">
        <v>0</v>
      </c>
      <c r="AD430">
        <v>0</v>
      </c>
      <c r="AE430">
        <v>0</v>
      </c>
      <c r="AF430">
        <v>0</v>
      </c>
      <c r="AG430">
        <v>0</v>
      </c>
    </row>
    <row r="431" spans="1:33">
      <c r="A431" s="1">
        <f>HYPERLINK("https://lsnyc.legalserver.org/matter/dynamic-profile/view/1912312","19-1912312")</f>
        <v>0</v>
      </c>
      <c r="B431" t="s">
        <v>34</v>
      </c>
      <c r="C431" t="s">
        <v>65</v>
      </c>
      <c r="D431" t="s">
        <v>422</v>
      </c>
      <c r="E431" t="s">
        <v>955</v>
      </c>
      <c r="F431">
        <v>2093</v>
      </c>
      <c r="G431" t="s">
        <v>1185</v>
      </c>
      <c r="I431" t="s">
        <v>1298</v>
      </c>
      <c r="J431">
        <v>1</v>
      </c>
      <c r="K431">
        <v>3</v>
      </c>
      <c r="L431">
        <v>1</v>
      </c>
      <c r="M431" t="s">
        <v>1301</v>
      </c>
      <c r="N431">
        <v>34968</v>
      </c>
      <c r="O431">
        <v>11433</v>
      </c>
      <c r="P431" t="s">
        <v>1308</v>
      </c>
      <c r="Q431" t="s">
        <v>1325</v>
      </c>
      <c r="S431" t="s">
        <v>1336</v>
      </c>
      <c r="AA431">
        <v>0</v>
      </c>
      <c r="AB431">
        <v>0</v>
      </c>
      <c r="AD431">
        <v>0</v>
      </c>
      <c r="AE431">
        <v>0</v>
      </c>
      <c r="AF431">
        <v>0</v>
      </c>
      <c r="AG431">
        <v>0</v>
      </c>
    </row>
    <row r="432" spans="1:33">
      <c r="A432" s="1">
        <f>HYPERLINK("https://lsnyc.legalserver.org/matter/dynamic-profile/view/1912321","19-1912321")</f>
        <v>0</v>
      </c>
      <c r="B432" t="s">
        <v>33</v>
      </c>
      <c r="C432" t="s">
        <v>70</v>
      </c>
      <c r="D432" t="s">
        <v>325</v>
      </c>
      <c r="E432" t="s">
        <v>579</v>
      </c>
      <c r="F432">
        <v>2090</v>
      </c>
      <c r="I432" t="s">
        <v>1298</v>
      </c>
      <c r="J432">
        <v>7</v>
      </c>
      <c r="K432">
        <v>3</v>
      </c>
      <c r="L432">
        <v>0</v>
      </c>
      <c r="N432">
        <v>54600</v>
      </c>
      <c r="O432">
        <v>10303</v>
      </c>
      <c r="P432" t="s">
        <v>1307</v>
      </c>
      <c r="S432" t="s">
        <v>1332</v>
      </c>
      <c r="W432" t="s">
        <v>1361</v>
      </c>
      <c r="AA432">
        <v>0</v>
      </c>
      <c r="AB432">
        <v>0</v>
      </c>
      <c r="AD432">
        <v>0</v>
      </c>
      <c r="AE432">
        <v>0</v>
      </c>
      <c r="AF432">
        <v>0</v>
      </c>
      <c r="AG432">
        <v>0</v>
      </c>
    </row>
    <row r="433" spans="1:33">
      <c r="A433" s="1">
        <f>HYPERLINK("https://lsnyc.legalserver.org/matter/dynamic-profile/view/1912383","19-1912383")</f>
        <v>0</v>
      </c>
      <c r="B433" t="s">
        <v>34</v>
      </c>
      <c r="C433" t="s">
        <v>65</v>
      </c>
      <c r="D433" t="s">
        <v>423</v>
      </c>
      <c r="E433" t="s">
        <v>956</v>
      </c>
      <c r="F433">
        <v>2093</v>
      </c>
      <c r="G433" t="s">
        <v>1274</v>
      </c>
      <c r="I433" t="s">
        <v>1298</v>
      </c>
      <c r="J433">
        <v>2</v>
      </c>
      <c r="K433">
        <v>0</v>
      </c>
      <c r="L433">
        <v>1</v>
      </c>
      <c r="M433" t="s">
        <v>1301</v>
      </c>
      <c r="N433">
        <v>10872</v>
      </c>
      <c r="O433">
        <v>11433</v>
      </c>
      <c r="P433" t="s">
        <v>1308</v>
      </c>
      <c r="Q433" t="s">
        <v>1325</v>
      </c>
      <c r="S433" t="s">
        <v>1336</v>
      </c>
      <c r="AA433">
        <v>0</v>
      </c>
      <c r="AB433">
        <v>0</v>
      </c>
      <c r="AD433">
        <v>0</v>
      </c>
      <c r="AE433">
        <v>0</v>
      </c>
      <c r="AF433">
        <v>0</v>
      </c>
      <c r="AG433">
        <v>0</v>
      </c>
    </row>
    <row r="434" spans="1:33">
      <c r="A434" s="1">
        <f>HYPERLINK("https://lsnyc.legalserver.org/matter/dynamic-profile/view/1907158","19-1907158")</f>
        <v>0</v>
      </c>
      <c r="B434" t="s">
        <v>35</v>
      </c>
      <c r="C434" t="s">
        <v>55</v>
      </c>
      <c r="D434" t="s">
        <v>424</v>
      </c>
      <c r="E434" t="s">
        <v>874</v>
      </c>
      <c r="F434">
        <v>2091</v>
      </c>
      <c r="G434" t="s">
        <v>1178</v>
      </c>
      <c r="I434" t="s">
        <v>1298</v>
      </c>
      <c r="J434">
        <v>1</v>
      </c>
      <c r="K434">
        <v>0</v>
      </c>
      <c r="L434">
        <v>1</v>
      </c>
      <c r="M434" t="s">
        <v>1301</v>
      </c>
      <c r="N434">
        <v>8400</v>
      </c>
      <c r="O434">
        <v>11212</v>
      </c>
      <c r="P434" t="s">
        <v>1309</v>
      </c>
      <c r="Q434" t="s">
        <v>1324</v>
      </c>
      <c r="R434" t="s">
        <v>1323</v>
      </c>
      <c r="S434" t="s">
        <v>1337</v>
      </c>
      <c r="AA434">
        <v>0</v>
      </c>
      <c r="AB434">
        <v>0</v>
      </c>
      <c r="AD434">
        <v>0</v>
      </c>
      <c r="AE434">
        <v>0</v>
      </c>
      <c r="AF434">
        <v>0</v>
      </c>
      <c r="AG434">
        <v>0</v>
      </c>
    </row>
    <row r="435" spans="1:33">
      <c r="A435" s="1">
        <f>HYPERLINK("https://lsnyc.legalserver.org/matter/dynamic-profile/view/1911792","19-1911792")</f>
        <v>0</v>
      </c>
      <c r="B435" t="s">
        <v>33</v>
      </c>
      <c r="C435" t="s">
        <v>70</v>
      </c>
      <c r="D435" t="s">
        <v>406</v>
      </c>
      <c r="E435" t="s">
        <v>957</v>
      </c>
      <c r="F435">
        <v>2090</v>
      </c>
      <c r="G435" t="s">
        <v>1215</v>
      </c>
      <c r="I435" t="s">
        <v>1298</v>
      </c>
      <c r="J435">
        <v>2</v>
      </c>
      <c r="K435">
        <v>0</v>
      </c>
      <c r="L435">
        <v>0</v>
      </c>
      <c r="N435">
        <v>61490</v>
      </c>
      <c r="O435">
        <v>10303</v>
      </c>
      <c r="P435" t="s">
        <v>1307</v>
      </c>
      <c r="Q435" t="s">
        <v>1315</v>
      </c>
      <c r="S435" t="s">
        <v>1336</v>
      </c>
      <c r="W435" t="s">
        <v>1366</v>
      </c>
      <c r="AA435">
        <v>0</v>
      </c>
      <c r="AB435">
        <v>0</v>
      </c>
      <c r="AD435">
        <v>0</v>
      </c>
      <c r="AE435">
        <v>0</v>
      </c>
      <c r="AF435">
        <v>0</v>
      </c>
      <c r="AG435">
        <v>0</v>
      </c>
    </row>
    <row r="436" spans="1:33">
      <c r="A436" s="1">
        <f>HYPERLINK("https://lsnyc.legalserver.org/matter/dynamic-profile/view/1912888","19-1912888")</f>
        <v>0</v>
      </c>
      <c r="B436" t="s">
        <v>34</v>
      </c>
      <c r="C436" t="s">
        <v>64</v>
      </c>
      <c r="D436" t="s">
        <v>425</v>
      </c>
      <c r="E436" t="s">
        <v>958</v>
      </c>
      <c r="F436">
        <v>2093</v>
      </c>
      <c r="I436" t="s">
        <v>1298</v>
      </c>
      <c r="J436">
        <v>2</v>
      </c>
      <c r="K436">
        <v>0</v>
      </c>
      <c r="L436">
        <v>1</v>
      </c>
      <c r="M436" t="s">
        <v>1301</v>
      </c>
      <c r="N436">
        <v>0</v>
      </c>
      <c r="O436">
        <v>11691</v>
      </c>
      <c r="P436" t="s">
        <v>1308</v>
      </c>
      <c r="Q436" t="s">
        <v>1314</v>
      </c>
      <c r="AA436">
        <v>0</v>
      </c>
      <c r="AB436">
        <v>0</v>
      </c>
      <c r="AD436">
        <v>0</v>
      </c>
      <c r="AE436">
        <v>0</v>
      </c>
      <c r="AF436">
        <v>0</v>
      </c>
      <c r="AG436">
        <v>0</v>
      </c>
    </row>
    <row r="437" spans="1:33">
      <c r="A437" s="1">
        <f>HYPERLINK("https://lsnyc.legalserver.org/matter/dynamic-profile/view/1912897","19-1912897")</f>
        <v>0</v>
      </c>
      <c r="B437" t="s">
        <v>33</v>
      </c>
      <c r="C437" t="s">
        <v>70</v>
      </c>
      <c r="D437" t="s">
        <v>426</v>
      </c>
      <c r="E437" t="s">
        <v>948</v>
      </c>
      <c r="F437">
        <v>2090</v>
      </c>
      <c r="I437" t="s">
        <v>1298</v>
      </c>
      <c r="J437">
        <v>1</v>
      </c>
      <c r="K437">
        <v>0</v>
      </c>
      <c r="L437">
        <v>0</v>
      </c>
      <c r="N437">
        <v>0</v>
      </c>
      <c r="O437">
        <v>10301</v>
      </c>
      <c r="P437" t="s">
        <v>1307</v>
      </c>
      <c r="Q437" t="s">
        <v>1322</v>
      </c>
      <c r="S437" t="s">
        <v>1337</v>
      </c>
      <c r="T437" t="s">
        <v>1335</v>
      </c>
      <c r="W437" t="s">
        <v>1381</v>
      </c>
      <c r="Y437" t="s">
        <v>1366</v>
      </c>
      <c r="AA437">
        <v>0</v>
      </c>
      <c r="AB437">
        <v>0</v>
      </c>
      <c r="AD437">
        <v>0</v>
      </c>
      <c r="AE437">
        <v>0</v>
      </c>
      <c r="AF437">
        <v>0</v>
      </c>
      <c r="AG437">
        <v>0</v>
      </c>
    </row>
    <row r="438" spans="1:33">
      <c r="A438" s="1">
        <f>HYPERLINK("https://lsnyc.legalserver.org/matter/dynamic-profile/view/1912907","19-1912907")</f>
        <v>0</v>
      </c>
      <c r="B438" t="s">
        <v>34</v>
      </c>
      <c r="C438" t="s">
        <v>64</v>
      </c>
      <c r="D438" t="s">
        <v>427</v>
      </c>
      <c r="E438" t="s">
        <v>376</v>
      </c>
      <c r="F438">
        <v>2093</v>
      </c>
      <c r="I438" t="s">
        <v>1298</v>
      </c>
      <c r="J438">
        <v>3</v>
      </c>
      <c r="K438">
        <v>0</v>
      </c>
      <c r="L438">
        <v>0</v>
      </c>
      <c r="M438" t="s">
        <v>1301</v>
      </c>
      <c r="N438">
        <v>36000</v>
      </c>
      <c r="O438">
        <v>11420</v>
      </c>
      <c r="P438" t="s">
        <v>1308</v>
      </c>
      <c r="Q438" t="s">
        <v>1319</v>
      </c>
      <c r="AA438">
        <v>0</v>
      </c>
      <c r="AB438">
        <v>0</v>
      </c>
      <c r="AD438">
        <v>0</v>
      </c>
      <c r="AE438">
        <v>0</v>
      </c>
      <c r="AF438">
        <v>0</v>
      </c>
      <c r="AG438">
        <v>0</v>
      </c>
    </row>
    <row r="439" spans="1:33">
      <c r="A439" s="1">
        <f>HYPERLINK("https://lsnyc.legalserver.org/matter/dynamic-profile/view/1912927","19-1912927")</f>
        <v>0</v>
      </c>
      <c r="B439" t="s">
        <v>34</v>
      </c>
      <c r="C439" t="s">
        <v>64</v>
      </c>
      <c r="D439" t="s">
        <v>428</v>
      </c>
      <c r="E439" t="s">
        <v>959</v>
      </c>
      <c r="F439">
        <v>2093</v>
      </c>
      <c r="I439" t="s">
        <v>1298</v>
      </c>
      <c r="J439">
        <v>2</v>
      </c>
      <c r="K439">
        <v>0</v>
      </c>
      <c r="L439">
        <v>0</v>
      </c>
      <c r="N439">
        <v>48000</v>
      </c>
      <c r="O439">
        <v>11413</v>
      </c>
      <c r="P439" t="s">
        <v>1308</v>
      </c>
      <c r="AA439">
        <v>0</v>
      </c>
      <c r="AB439">
        <v>0</v>
      </c>
      <c r="AD439">
        <v>0</v>
      </c>
      <c r="AE439">
        <v>0</v>
      </c>
      <c r="AF439">
        <v>0</v>
      </c>
      <c r="AG439">
        <v>0</v>
      </c>
    </row>
    <row r="440" spans="1:33">
      <c r="A440" s="1">
        <f>HYPERLINK("https://lsnyc.legalserver.org/matter/dynamic-profile/view/1912940","19-1912940")</f>
        <v>0</v>
      </c>
      <c r="B440" t="s">
        <v>33</v>
      </c>
      <c r="C440" t="s">
        <v>70</v>
      </c>
      <c r="D440" t="s">
        <v>429</v>
      </c>
      <c r="E440" t="s">
        <v>960</v>
      </c>
      <c r="F440">
        <v>2090</v>
      </c>
      <c r="I440" t="s">
        <v>1298</v>
      </c>
      <c r="J440">
        <v>3</v>
      </c>
      <c r="K440">
        <v>0</v>
      </c>
      <c r="L440">
        <v>0</v>
      </c>
      <c r="N440">
        <v>40344</v>
      </c>
      <c r="O440">
        <v>10301</v>
      </c>
      <c r="P440" t="s">
        <v>1307</v>
      </c>
      <c r="Q440" t="s">
        <v>1314</v>
      </c>
      <c r="S440" t="s">
        <v>1337</v>
      </c>
      <c r="AA440">
        <v>0</v>
      </c>
      <c r="AB440">
        <v>0</v>
      </c>
      <c r="AD440">
        <v>0</v>
      </c>
      <c r="AE440">
        <v>0</v>
      </c>
      <c r="AF440">
        <v>0</v>
      </c>
      <c r="AG440">
        <v>0</v>
      </c>
    </row>
    <row r="441" spans="1:33">
      <c r="A441" s="1">
        <f>HYPERLINK("https://lsnyc.legalserver.org/matter/dynamic-profile/view/1913074","19-1913074")</f>
        <v>0</v>
      </c>
      <c r="B441" t="s">
        <v>34</v>
      </c>
      <c r="C441" t="s">
        <v>54</v>
      </c>
      <c r="D441" t="s">
        <v>288</v>
      </c>
      <c r="E441" t="s">
        <v>623</v>
      </c>
      <c r="F441">
        <v>2093</v>
      </c>
      <c r="I441" t="s">
        <v>1298</v>
      </c>
      <c r="J441">
        <v>2</v>
      </c>
      <c r="K441">
        <v>0</v>
      </c>
      <c r="L441">
        <v>0</v>
      </c>
      <c r="N441">
        <v>39000</v>
      </c>
      <c r="O441">
        <v>11436</v>
      </c>
      <c r="P441" t="s">
        <v>1308</v>
      </c>
      <c r="AA441">
        <v>0</v>
      </c>
      <c r="AB441">
        <v>0</v>
      </c>
      <c r="AD441">
        <v>0</v>
      </c>
      <c r="AE441">
        <v>0</v>
      </c>
      <c r="AF441">
        <v>0</v>
      </c>
      <c r="AG441">
        <v>0</v>
      </c>
    </row>
    <row r="442" spans="1:33">
      <c r="A442" s="1">
        <f>HYPERLINK("https://lsnyc.legalserver.org/matter/dynamic-profile/view/1912816","19-1912816")</f>
        <v>0</v>
      </c>
      <c r="B442" t="s">
        <v>35</v>
      </c>
      <c r="C442" t="s">
        <v>61</v>
      </c>
      <c r="D442" t="s">
        <v>430</v>
      </c>
      <c r="E442" t="s">
        <v>807</v>
      </c>
      <c r="F442">
        <v>2091</v>
      </c>
      <c r="G442" t="s">
        <v>1188</v>
      </c>
      <c r="I442" t="s">
        <v>1298</v>
      </c>
      <c r="J442">
        <v>2</v>
      </c>
      <c r="K442">
        <v>0</v>
      </c>
      <c r="L442">
        <v>1</v>
      </c>
      <c r="M442" t="s">
        <v>1304</v>
      </c>
      <c r="N442">
        <v>104200</v>
      </c>
      <c r="O442">
        <v>11206</v>
      </c>
      <c r="P442" t="s">
        <v>1309</v>
      </c>
      <c r="Q442" t="s">
        <v>1326</v>
      </c>
      <c r="S442" t="s">
        <v>1337</v>
      </c>
      <c r="AA442">
        <v>0</v>
      </c>
      <c r="AB442">
        <v>0</v>
      </c>
      <c r="AD442">
        <v>0</v>
      </c>
      <c r="AE442">
        <v>0</v>
      </c>
      <c r="AF442">
        <v>0</v>
      </c>
      <c r="AG442">
        <v>0</v>
      </c>
    </row>
    <row r="443" spans="1:33">
      <c r="A443" s="1">
        <f>HYPERLINK("https://lsnyc.legalserver.org/matter/dynamic-profile/view/1912971","19-1912971")</f>
        <v>0</v>
      </c>
      <c r="B443" t="s">
        <v>35</v>
      </c>
      <c r="C443" t="s">
        <v>51</v>
      </c>
      <c r="D443" t="s">
        <v>289</v>
      </c>
      <c r="E443" t="s">
        <v>961</v>
      </c>
      <c r="F443">
        <v>2091</v>
      </c>
      <c r="G443" t="s">
        <v>1233</v>
      </c>
      <c r="H443" t="s">
        <v>1233</v>
      </c>
      <c r="I443" t="s">
        <v>1298</v>
      </c>
      <c r="J443">
        <v>2</v>
      </c>
      <c r="K443">
        <v>1</v>
      </c>
      <c r="L443">
        <v>0</v>
      </c>
      <c r="N443">
        <v>35904</v>
      </c>
      <c r="O443">
        <v>11226</v>
      </c>
      <c r="P443" t="s">
        <v>1309</v>
      </c>
      <c r="Q443" t="s">
        <v>1317</v>
      </c>
      <c r="S443" t="s">
        <v>1332</v>
      </c>
      <c r="T443" t="s">
        <v>1337</v>
      </c>
      <c r="W443" t="s">
        <v>1361</v>
      </c>
      <c r="Y443" t="s">
        <v>1366</v>
      </c>
      <c r="AA443">
        <v>0</v>
      </c>
      <c r="AB443">
        <v>0</v>
      </c>
      <c r="AD443">
        <v>0</v>
      </c>
      <c r="AE443">
        <v>0</v>
      </c>
      <c r="AF443">
        <v>0</v>
      </c>
      <c r="AG443">
        <v>0</v>
      </c>
    </row>
    <row r="444" spans="1:33">
      <c r="A444" s="1">
        <f>HYPERLINK("https://lsnyc.legalserver.org/matter/dynamic-profile/view/1913145","19-1913145")</f>
        <v>0</v>
      </c>
      <c r="B444" t="s">
        <v>35</v>
      </c>
      <c r="C444" t="s">
        <v>40</v>
      </c>
      <c r="D444" t="s">
        <v>144</v>
      </c>
      <c r="E444" t="s">
        <v>608</v>
      </c>
      <c r="F444">
        <v>2091</v>
      </c>
      <c r="I444" t="s">
        <v>1298</v>
      </c>
      <c r="J444">
        <v>2</v>
      </c>
      <c r="K444">
        <v>0</v>
      </c>
      <c r="L444">
        <v>1</v>
      </c>
      <c r="M444" t="s">
        <v>1301</v>
      </c>
      <c r="N444">
        <v>69400</v>
      </c>
      <c r="O444">
        <v>11233</v>
      </c>
      <c r="P444" t="s">
        <v>1309</v>
      </c>
      <c r="Q444" t="s">
        <v>1319</v>
      </c>
      <c r="S444" t="s">
        <v>1347</v>
      </c>
      <c r="T444" t="s">
        <v>1336</v>
      </c>
      <c r="W444" t="s">
        <v>1381</v>
      </c>
      <c r="Y444" t="s">
        <v>1366</v>
      </c>
      <c r="AA444">
        <v>0</v>
      </c>
      <c r="AB444">
        <v>0</v>
      </c>
      <c r="AD444">
        <v>0</v>
      </c>
      <c r="AE444">
        <v>0</v>
      </c>
      <c r="AF444">
        <v>0</v>
      </c>
      <c r="AG444">
        <v>0</v>
      </c>
    </row>
    <row r="445" spans="1:33">
      <c r="A445" s="1">
        <f>HYPERLINK("https://lsnyc.legalserver.org/matter/dynamic-profile/view/1913323","19-1913323")</f>
        <v>0</v>
      </c>
      <c r="B445" t="s">
        <v>36</v>
      </c>
      <c r="C445" t="s">
        <v>46</v>
      </c>
      <c r="D445" t="s">
        <v>431</v>
      </c>
      <c r="E445" t="s">
        <v>962</v>
      </c>
      <c r="F445">
        <v>2094</v>
      </c>
      <c r="G445" t="s">
        <v>1210</v>
      </c>
      <c r="I445" t="s">
        <v>1298</v>
      </c>
      <c r="J445">
        <v>1</v>
      </c>
      <c r="K445">
        <v>0</v>
      </c>
      <c r="L445">
        <v>1</v>
      </c>
      <c r="M445" t="s">
        <v>1304</v>
      </c>
      <c r="N445">
        <v>27984</v>
      </c>
      <c r="O445">
        <v>10472</v>
      </c>
      <c r="P445" t="s">
        <v>1310</v>
      </c>
      <c r="Q445" t="s">
        <v>1319</v>
      </c>
      <c r="R445" t="s">
        <v>1321</v>
      </c>
      <c r="S445" t="s">
        <v>1337</v>
      </c>
      <c r="W445" t="s">
        <v>1366</v>
      </c>
      <c r="AA445">
        <v>0</v>
      </c>
      <c r="AB445">
        <v>0</v>
      </c>
      <c r="AD445">
        <v>0</v>
      </c>
      <c r="AE445">
        <v>0</v>
      </c>
      <c r="AF445">
        <v>0</v>
      </c>
      <c r="AG445">
        <v>0</v>
      </c>
    </row>
    <row r="446" spans="1:33">
      <c r="A446" s="1">
        <f>HYPERLINK("https://lsnyc.legalserver.org/matter/dynamic-profile/view/1913641","19-1913641")</f>
        <v>0</v>
      </c>
      <c r="B446" t="s">
        <v>36</v>
      </c>
      <c r="C446" t="s">
        <v>59</v>
      </c>
      <c r="D446" t="s">
        <v>399</v>
      </c>
      <c r="E446" t="s">
        <v>930</v>
      </c>
      <c r="F446">
        <v>2094</v>
      </c>
      <c r="I446" t="s">
        <v>1298</v>
      </c>
      <c r="J446">
        <v>1</v>
      </c>
      <c r="K446">
        <v>0</v>
      </c>
      <c r="L446">
        <v>0</v>
      </c>
      <c r="N446">
        <v>30000</v>
      </c>
      <c r="O446">
        <v>10470</v>
      </c>
      <c r="P446" t="s">
        <v>1310</v>
      </c>
      <c r="S446" t="s">
        <v>1338</v>
      </c>
      <c r="AA446">
        <v>0</v>
      </c>
      <c r="AB446">
        <v>0</v>
      </c>
      <c r="AD446">
        <v>0</v>
      </c>
      <c r="AE446">
        <v>0</v>
      </c>
      <c r="AF446">
        <v>0</v>
      </c>
      <c r="AG446">
        <v>0</v>
      </c>
    </row>
    <row r="447" spans="1:33">
      <c r="A447" s="1">
        <f>HYPERLINK("https://lsnyc.legalserver.org/matter/dynamic-profile/view/1913260","19-1913260")</f>
        <v>0</v>
      </c>
      <c r="B447" t="s">
        <v>35</v>
      </c>
      <c r="C447" t="s">
        <v>51</v>
      </c>
      <c r="D447" t="s">
        <v>145</v>
      </c>
      <c r="E447" t="s">
        <v>963</v>
      </c>
      <c r="F447">
        <v>2091</v>
      </c>
      <c r="G447" t="s">
        <v>1185</v>
      </c>
      <c r="I447" t="s">
        <v>1298</v>
      </c>
      <c r="J447">
        <v>4</v>
      </c>
      <c r="K447">
        <v>1</v>
      </c>
      <c r="L447">
        <v>0</v>
      </c>
      <c r="M447" t="s">
        <v>1301</v>
      </c>
      <c r="N447">
        <v>51600</v>
      </c>
      <c r="O447">
        <v>11210</v>
      </c>
      <c r="P447" t="s">
        <v>1309</v>
      </c>
      <c r="Q447" t="s">
        <v>1322</v>
      </c>
      <c r="S447" t="s">
        <v>1337</v>
      </c>
      <c r="AA447">
        <v>0</v>
      </c>
      <c r="AB447">
        <v>0</v>
      </c>
      <c r="AD447">
        <v>0</v>
      </c>
      <c r="AE447">
        <v>0</v>
      </c>
      <c r="AF447">
        <v>0</v>
      </c>
      <c r="AG447">
        <v>0</v>
      </c>
    </row>
    <row r="448" spans="1:33">
      <c r="A448" s="1">
        <f>HYPERLINK("https://lsnyc.legalserver.org/matter/dynamic-profile/view/1913851","19-1913851")</f>
        <v>0</v>
      </c>
      <c r="B448" t="s">
        <v>36</v>
      </c>
      <c r="C448" t="s">
        <v>46</v>
      </c>
      <c r="D448" t="s">
        <v>432</v>
      </c>
      <c r="E448" t="s">
        <v>964</v>
      </c>
      <c r="F448">
        <v>2094</v>
      </c>
      <c r="G448" t="s">
        <v>1199</v>
      </c>
      <c r="H448" t="s">
        <v>1294</v>
      </c>
      <c r="I448" t="s">
        <v>1298</v>
      </c>
      <c r="J448">
        <v>3</v>
      </c>
      <c r="K448">
        <v>0</v>
      </c>
      <c r="L448">
        <v>0</v>
      </c>
      <c r="M448" t="s">
        <v>1302</v>
      </c>
      <c r="N448">
        <v>45120</v>
      </c>
      <c r="O448">
        <v>10466</v>
      </c>
      <c r="P448" t="s">
        <v>1310</v>
      </c>
      <c r="Q448" t="s">
        <v>1326</v>
      </c>
      <c r="S448" t="s">
        <v>1337</v>
      </c>
      <c r="W448" t="s">
        <v>1366</v>
      </c>
      <c r="AA448">
        <v>0</v>
      </c>
      <c r="AB448">
        <v>0</v>
      </c>
      <c r="AD448">
        <v>0</v>
      </c>
      <c r="AE448">
        <v>0</v>
      </c>
      <c r="AF448">
        <v>0</v>
      </c>
      <c r="AG448">
        <v>0</v>
      </c>
    </row>
    <row r="449" spans="1:33">
      <c r="A449" s="1">
        <f>HYPERLINK("https://lsnyc.legalserver.org/matter/dynamic-profile/view/1913876","19-1913876")</f>
        <v>0</v>
      </c>
      <c r="B449" t="s">
        <v>36</v>
      </c>
      <c r="C449" t="s">
        <v>46</v>
      </c>
      <c r="D449" t="s">
        <v>350</v>
      </c>
      <c r="E449" t="s">
        <v>811</v>
      </c>
      <c r="F449">
        <v>2094</v>
      </c>
      <c r="G449" t="s">
        <v>1205</v>
      </c>
      <c r="I449" t="s">
        <v>1298</v>
      </c>
      <c r="J449">
        <v>1</v>
      </c>
      <c r="K449">
        <v>0</v>
      </c>
      <c r="L449">
        <v>0</v>
      </c>
      <c r="M449" t="s">
        <v>1302</v>
      </c>
      <c r="N449">
        <v>25168</v>
      </c>
      <c r="O449">
        <v>10466</v>
      </c>
      <c r="P449" t="s">
        <v>1310</v>
      </c>
      <c r="Q449" t="s">
        <v>1319</v>
      </c>
      <c r="S449" t="s">
        <v>1337</v>
      </c>
      <c r="W449" t="s">
        <v>1366</v>
      </c>
      <c r="AA449">
        <v>0</v>
      </c>
      <c r="AB449">
        <v>0</v>
      </c>
      <c r="AD449">
        <v>0</v>
      </c>
      <c r="AE449">
        <v>0</v>
      </c>
      <c r="AF449">
        <v>0</v>
      </c>
      <c r="AG449">
        <v>0</v>
      </c>
    </row>
    <row r="450" spans="1:33">
      <c r="A450" s="1">
        <f>HYPERLINK("https://lsnyc.legalserver.org/matter/dynamic-profile/view/1913887","19-1913887")</f>
        <v>0</v>
      </c>
      <c r="B450" t="s">
        <v>36</v>
      </c>
      <c r="C450" t="s">
        <v>46</v>
      </c>
      <c r="D450" t="s">
        <v>352</v>
      </c>
      <c r="E450" t="s">
        <v>965</v>
      </c>
      <c r="F450">
        <v>2094</v>
      </c>
      <c r="G450" t="s">
        <v>1209</v>
      </c>
      <c r="I450" t="s">
        <v>1298</v>
      </c>
      <c r="J450">
        <v>2</v>
      </c>
      <c r="K450">
        <v>0</v>
      </c>
      <c r="L450">
        <v>0</v>
      </c>
      <c r="M450" t="s">
        <v>1301</v>
      </c>
      <c r="N450">
        <v>72000</v>
      </c>
      <c r="O450">
        <v>10467</v>
      </c>
      <c r="P450" t="s">
        <v>1310</v>
      </c>
      <c r="Q450" t="s">
        <v>1319</v>
      </c>
      <c r="S450" t="s">
        <v>1337</v>
      </c>
      <c r="AA450">
        <v>0</v>
      </c>
      <c r="AB450">
        <v>0</v>
      </c>
      <c r="AD450">
        <v>0</v>
      </c>
      <c r="AE450">
        <v>0</v>
      </c>
      <c r="AF450">
        <v>0</v>
      </c>
      <c r="AG450">
        <v>0</v>
      </c>
    </row>
    <row r="451" spans="1:33">
      <c r="A451" s="1">
        <f>HYPERLINK("https://lsnyc.legalserver.org/matter/dynamic-profile/view/1913923","19-1913923")</f>
        <v>0</v>
      </c>
      <c r="B451" t="s">
        <v>35</v>
      </c>
      <c r="C451" t="s">
        <v>67</v>
      </c>
      <c r="D451" t="s">
        <v>197</v>
      </c>
      <c r="E451" t="s">
        <v>966</v>
      </c>
      <c r="F451">
        <v>2091</v>
      </c>
      <c r="I451" t="s">
        <v>1298</v>
      </c>
      <c r="J451">
        <v>1</v>
      </c>
      <c r="K451">
        <v>0</v>
      </c>
      <c r="L451">
        <v>0</v>
      </c>
      <c r="N451">
        <v>38784</v>
      </c>
      <c r="O451">
        <v>10029</v>
      </c>
      <c r="P451" t="s">
        <v>1311</v>
      </c>
      <c r="Q451" t="s">
        <v>1317</v>
      </c>
      <c r="S451" t="s">
        <v>1343</v>
      </c>
      <c r="W451" t="s">
        <v>1379</v>
      </c>
      <c r="AA451">
        <v>0</v>
      </c>
      <c r="AB451">
        <v>0</v>
      </c>
      <c r="AD451">
        <v>0</v>
      </c>
      <c r="AE451">
        <v>0</v>
      </c>
      <c r="AF451">
        <v>0</v>
      </c>
      <c r="AG451">
        <v>0</v>
      </c>
    </row>
    <row r="452" spans="1:33">
      <c r="A452" s="1">
        <f>HYPERLINK("https://lsnyc.legalserver.org/matter/dynamic-profile/view/1913951","19-1913951")</f>
        <v>0</v>
      </c>
      <c r="B452" t="s">
        <v>35</v>
      </c>
      <c r="C452" t="s">
        <v>67</v>
      </c>
      <c r="D452" t="s">
        <v>433</v>
      </c>
      <c r="E452" t="s">
        <v>803</v>
      </c>
      <c r="F452">
        <v>2091</v>
      </c>
      <c r="I452" t="s">
        <v>1298</v>
      </c>
      <c r="J452">
        <v>1</v>
      </c>
      <c r="K452">
        <v>0</v>
      </c>
      <c r="L452">
        <v>0</v>
      </c>
      <c r="N452">
        <v>10800</v>
      </c>
      <c r="O452">
        <v>11233</v>
      </c>
      <c r="P452" t="s">
        <v>1309</v>
      </c>
      <c r="Q452" t="s">
        <v>1317</v>
      </c>
      <c r="S452" t="s">
        <v>1343</v>
      </c>
      <c r="W452" t="s">
        <v>1379</v>
      </c>
      <c r="AA452">
        <v>0</v>
      </c>
      <c r="AB452">
        <v>0</v>
      </c>
      <c r="AD452">
        <v>0</v>
      </c>
      <c r="AE452">
        <v>0</v>
      </c>
      <c r="AF452">
        <v>0</v>
      </c>
      <c r="AG452">
        <v>0</v>
      </c>
    </row>
    <row r="453" spans="1:33">
      <c r="A453" s="1">
        <f>HYPERLINK("https://lsnyc.legalserver.org/matter/dynamic-profile/view/1913969","19-1913969")</f>
        <v>0</v>
      </c>
      <c r="B453" t="s">
        <v>35</v>
      </c>
      <c r="C453" t="s">
        <v>67</v>
      </c>
      <c r="D453" t="s">
        <v>434</v>
      </c>
      <c r="E453" t="s">
        <v>967</v>
      </c>
      <c r="F453">
        <v>2091</v>
      </c>
      <c r="I453" t="s">
        <v>1298</v>
      </c>
      <c r="J453">
        <v>1</v>
      </c>
      <c r="K453">
        <v>0</v>
      </c>
      <c r="L453">
        <v>0</v>
      </c>
      <c r="N453">
        <v>20000</v>
      </c>
      <c r="O453">
        <v>11234</v>
      </c>
      <c r="P453" t="s">
        <v>1309</v>
      </c>
      <c r="Q453" t="s">
        <v>1317</v>
      </c>
      <c r="S453" t="s">
        <v>1343</v>
      </c>
      <c r="W453" t="s">
        <v>1379</v>
      </c>
      <c r="AA453">
        <v>0</v>
      </c>
      <c r="AB453">
        <v>0</v>
      </c>
      <c r="AD453">
        <v>0</v>
      </c>
      <c r="AE453">
        <v>0</v>
      </c>
      <c r="AF453">
        <v>0</v>
      </c>
      <c r="AG453">
        <v>0</v>
      </c>
    </row>
    <row r="454" spans="1:33">
      <c r="A454" s="1">
        <f>HYPERLINK("https://lsnyc.legalserver.org/matter/dynamic-profile/view/1913971","19-1913971")</f>
        <v>0</v>
      </c>
      <c r="B454" t="s">
        <v>35</v>
      </c>
      <c r="C454" t="s">
        <v>67</v>
      </c>
      <c r="D454" t="s">
        <v>435</v>
      </c>
      <c r="E454" t="s">
        <v>967</v>
      </c>
      <c r="F454">
        <v>2091</v>
      </c>
      <c r="I454" t="s">
        <v>1298</v>
      </c>
      <c r="J454">
        <v>1</v>
      </c>
      <c r="K454">
        <v>0</v>
      </c>
      <c r="L454">
        <v>0</v>
      </c>
      <c r="N454">
        <v>19608</v>
      </c>
      <c r="O454">
        <v>10463</v>
      </c>
      <c r="P454" t="s">
        <v>1310</v>
      </c>
      <c r="Q454" t="s">
        <v>1317</v>
      </c>
      <c r="S454" t="s">
        <v>1343</v>
      </c>
      <c r="W454" t="s">
        <v>1379</v>
      </c>
      <c r="AA454">
        <v>0</v>
      </c>
      <c r="AB454">
        <v>0</v>
      </c>
      <c r="AD454">
        <v>0</v>
      </c>
      <c r="AE454">
        <v>0</v>
      </c>
      <c r="AF454">
        <v>0</v>
      </c>
      <c r="AG454">
        <v>0</v>
      </c>
    </row>
    <row r="455" spans="1:33">
      <c r="A455" s="1">
        <f>HYPERLINK("https://lsnyc.legalserver.org/matter/dynamic-profile/view/1913972","19-1913972")</f>
        <v>0</v>
      </c>
      <c r="B455" t="s">
        <v>35</v>
      </c>
      <c r="C455" t="s">
        <v>67</v>
      </c>
      <c r="D455" t="s">
        <v>436</v>
      </c>
      <c r="E455" t="s">
        <v>968</v>
      </c>
      <c r="F455">
        <v>2091</v>
      </c>
      <c r="G455" t="s">
        <v>1248</v>
      </c>
      <c r="I455" t="s">
        <v>1298</v>
      </c>
      <c r="J455">
        <v>3</v>
      </c>
      <c r="K455">
        <v>0</v>
      </c>
      <c r="L455">
        <v>0</v>
      </c>
      <c r="N455">
        <v>37548</v>
      </c>
      <c r="O455">
        <v>11236</v>
      </c>
      <c r="P455" t="s">
        <v>1309</v>
      </c>
      <c r="Q455" t="s">
        <v>1317</v>
      </c>
      <c r="S455" t="s">
        <v>1343</v>
      </c>
      <c r="W455" t="s">
        <v>1379</v>
      </c>
      <c r="AA455">
        <v>0</v>
      </c>
      <c r="AB455">
        <v>0</v>
      </c>
      <c r="AD455">
        <v>0</v>
      </c>
      <c r="AE455">
        <v>0</v>
      </c>
      <c r="AF455">
        <v>0</v>
      </c>
      <c r="AG455">
        <v>0</v>
      </c>
    </row>
    <row r="456" spans="1:33">
      <c r="A456" s="1">
        <f>HYPERLINK("https://lsnyc.legalserver.org/matter/dynamic-profile/view/1913503","19-1913503")</f>
        <v>0</v>
      </c>
      <c r="B456" t="s">
        <v>35</v>
      </c>
      <c r="C456" t="s">
        <v>55</v>
      </c>
      <c r="D456" t="s">
        <v>437</v>
      </c>
      <c r="E456" t="s">
        <v>969</v>
      </c>
      <c r="F456">
        <v>2091</v>
      </c>
      <c r="I456" t="s">
        <v>1298</v>
      </c>
      <c r="J456">
        <v>2</v>
      </c>
      <c r="K456">
        <v>0</v>
      </c>
      <c r="L456">
        <v>0</v>
      </c>
      <c r="M456" t="s">
        <v>1302</v>
      </c>
      <c r="N456">
        <v>70000</v>
      </c>
      <c r="O456">
        <v>11233</v>
      </c>
      <c r="P456" t="s">
        <v>1309</v>
      </c>
      <c r="Q456" t="s">
        <v>1320</v>
      </c>
      <c r="S456" t="s">
        <v>1337</v>
      </c>
      <c r="AA456">
        <v>0</v>
      </c>
      <c r="AB456">
        <v>0</v>
      </c>
      <c r="AD456">
        <v>0</v>
      </c>
      <c r="AE456">
        <v>0</v>
      </c>
      <c r="AF456">
        <v>0</v>
      </c>
      <c r="AG456">
        <v>0</v>
      </c>
    </row>
    <row r="457" spans="1:33">
      <c r="A457" s="1">
        <f>HYPERLINK("https://lsnyc.legalserver.org/matter/dynamic-profile/view/1914119","19-1914119")</f>
        <v>0</v>
      </c>
      <c r="B457" t="s">
        <v>35</v>
      </c>
      <c r="C457" t="s">
        <v>61</v>
      </c>
      <c r="D457" t="s">
        <v>438</v>
      </c>
      <c r="E457" t="s">
        <v>100</v>
      </c>
      <c r="F457">
        <v>2091</v>
      </c>
      <c r="G457" t="s">
        <v>1275</v>
      </c>
      <c r="I457" t="s">
        <v>1298</v>
      </c>
      <c r="J457">
        <v>3</v>
      </c>
      <c r="K457">
        <v>0</v>
      </c>
      <c r="L457">
        <v>0</v>
      </c>
      <c r="M457" t="s">
        <v>1302</v>
      </c>
      <c r="N457">
        <v>52944</v>
      </c>
      <c r="O457">
        <v>11233</v>
      </c>
      <c r="P457" t="s">
        <v>1309</v>
      </c>
      <c r="Q457" t="s">
        <v>1326</v>
      </c>
      <c r="S457" t="s">
        <v>1337</v>
      </c>
      <c r="AA457">
        <v>0</v>
      </c>
      <c r="AB457">
        <v>0</v>
      </c>
      <c r="AD457">
        <v>0</v>
      </c>
      <c r="AE457">
        <v>0</v>
      </c>
      <c r="AF457">
        <v>0</v>
      </c>
      <c r="AG457">
        <v>0</v>
      </c>
    </row>
    <row r="458" spans="1:33">
      <c r="A458" s="1">
        <f>HYPERLINK("https://lsnyc.legalserver.org/matter/dynamic-profile/view/1914369","19-1914369")</f>
        <v>0</v>
      </c>
      <c r="B458" t="s">
        <v>36</v>
      </c>
      <c r="C458" t="s">
        <v>46</v>
      </c>
      <c r="D458" t="s">
        <v>154</v>
      </c>
      <c r="E458" t="s">
        <v>970</v>
      </c>
      <c r="F458">
        <v>2094</v>
      </c>
      <c r="G458" t="s">
        <v>1195</v>
      </c>
      <c r="I458" t="s">
        <v>1298</v>
      </c>
      <c r="J458">
        <v>3</v>
      </c>
      <c r="K458">
        <v>0</v>
      </c>
      <c r="L458">
        <v>0</v>
      </c>
      <c r="M458" t="s">
        <v>1304</v>
      </c>
      <c r="N458">
        <v>150336</v>
      </c>
      <c r="O458">
        <v>10467</v>
      </c>
      <c r="P458" t="s">
        <v>1310</v>
      </c>
      <c r="Q458" t="s">
        <v>1315</v>
      </c>
      <c r="S458" t="s">
        <v>1337</v>
      </c>
      <c r="W458" t="s">
        <v>1366</v>
      </c>
      <c r="AA458">
        <v>0</v>
      </c>
      <c r="AB458">
        <v>0</v>
      </c>
      <c r="AD458">
        <v>0</v>
      </c>
      <c r="AE458">
        <v>0</v>
      </c>
      <c r="AF458">
        <v>0</v>
      </c>
      <c r="AG458">
        <v>0</v>
      </c>
    </row>
    <row r="459" spans="1:33">
      <c r="A459" s="1">
        <f>HYPERLINK("https://lsnyc.legalserver.org/matter/dynamic-profile/view/1914415","19-1914415")</f>
        <v>0</v>
      </c>
      <c r="B459" t="s">
        <v>36</v>
      </c>
      <c r="C459" t="s">
        <v>46</v>
      </c>
      <c r="D459" t="s">
        <v>335</v>
      </c>
      <c r="E459" t="s">
        <v>971</v>
      </c>
      <c r="F459">
        <v>2094</v>
      </c>
      <c r="G459" t="s">
        <v>1178</v>
      </c>
      <c r="I459" t="s">
        <v>1298</v>
      </c>
      <c r="J459">
        <v>4</v>
      </c>
      <c r="K459">
        <v>0</v>
      </c>
      <c r="L459">
        <v>0</v>
      </c>
      <c r="M459" t="s">
        <v>1303</v>
      </c>
      <c r="N459">
        <v>162000</v>
      </c>
      <c r="O459">
        <v>10462</v>
      </c>
      <c r="P459" t="s">
        <v>1310</v>
      </c>
      <c r="Q459" t="s">
        <v>1316</v>
      </c>
      <c r="S459" t="s">
        <v>1334</v>
      </c>
      <c r="T459" t="s">
        <v>1336</v>
      </c>
      <c r="W459" t="s">
        <v>1366</v>
      </c>
      <c r="AA459">
        <v>0</v>
      </c>
      <c r="AB459">
        <v>0</v>
      </c>
      <c r="AD459">
        <v>0</v>
      </c>
      <c r="AE459">
        <v>0</v>
      </c>
      <c r="AF459">
        <v>0</v>
      </c>
      <c r="AG459">
        <v>0</v>
      </c>
    </row>
    <row r="460" spans="1:33">
      <c r="A460" s="1">
        <f>HYPERLINK("https://lsnyc.legalserver.org/matter/dynamic-profile/view/1914425","19-1914425")</f>
        <v>0</v>
      </c>
      <c r="B460" t="s">
        <v>36</v>
      </c>
      <c r="C460" t="s">
        <v>46</v>
      </c>
      <c r="D460" t="s">
        <v>439</v>
      </c>
      <c r="E460" t="s">
        <v>377</v>
      </c>
      <c r="F460">
        <v>2094</v>
      </c>
      <c r="G460" t="s">
        <v>1276</v>
      </c>
      <c r="I460" t="s">
        <v>1298</v>
      </c>
      <c r="J460">
        <v>2</v>
      </c>
      <c r="K460">
        <v>1</v>
      </c>
      <c r="L460">
        <v>0</v>
      </c>
      <c r="M460" t="s">
        <v>1301</v>
      </c>
      <c r="N460">
        <v>40460</v>
      </c>
      <c r="O460">
        <v>10456</v>
      </c>
      <c r="P460" t="s">
        <v>1310</v>
      </c>
      <c r="Q460" t="s">
        <v>1319</v>
      </c>
      <c r="S460" t="s">
        <v>1336</v>
      </c>
      <c r="W460" t="s">
        <v>1366</v>
      </c>
      <c r="AA460">
        <v>0</v>
      </c>
      <c r="AB460">
        <v>0</v>
      </c>
      <c r="AD460">
        <v>0</v>
      </c>
      <c r="AE460">
        <v>0</v>
      </c>
      <c r="AF460">
        <v>0</v>
      </c>
      <c r="AG460">
        <v>0</v>
      </c>
    </row>
    <row r="461" spans="1:33">
      <c r="A461" s="1">
        <f>HYPERLINK("https://lsnyc.legalserver.org/matter/dynamic-profile/view/1914462","19-1914462")</f>
        <v>0</v>
      </c>
      <c r="B461" t="s">
        <v>36</v>
      </c>
      <c r="C461" t="s">
        <v>46</v>
      </c>
      <c r="D461" t="s">
        <v>250</v>
      </c>
      <c r="E461" t="s">
        <v>972</v>
      </c>
      <c r="F461">
        <v>2094</v>
      </c>
      <c r="G461" t="s">
        <v>1209</v>
      </c>
      <c r="I461" t="s">
        <v>1298</v>
      </c>
      <c r="J461">
        <v>2</v>
      </c>
      <c r="K461">
        <v>1</v>
      </c>
      <c r="L461">
        <v>0</v>
      </c>
      <c r="M461" t="s">
        <v>1303</v>
      </c>
      <c r="N461">
        <v>60000</v>
      </c>
      <c r="O461">
        <v>10462</v>
      </c>
      <c r="P461" t="s">
        <v>1310</v>
      </c>
      <c r="Q461" t="s">
        <v>1314</v>
      </c>
      <c r="AA461">
        <v>0</v>
      </c>
      <c r="AB461">
        <v>0</v>
      </c>
      <c r="AD461">
        <v>0</v>
      </c>
      <c r="AE461">
        <v>0</v>
      </c>
      <c r="AF461">
        <v>0</v>
      </c>
      <c r="AG461">
        <v>0</v>
      </c>
    </row>
    <row r="462" spans="1:33">
      <c r="A462" s="1">
        <f>HYPERLINK("https://lsnyc.legalserver.org/matter/dynamic-profile/view/1914524","19-1914524")</f>
        <v>0</v>
      </c>
      <c r="B462" t="s">
        <v>34</v>
      </c>
      <c r="C462" t="s">
        <v>64</v>
      </c>
      <c r="D462" t="s">
        <v>298</v>
      </c>
      <c r="E462" t="s">
        <v>973</v>
      </c>
      <c r="F462">
        <v>2093</v>
      </c>
      <c r="I462" t="s">
        <v>1298</v>
      </c>
      <c r="J462">
        <v>2</v>
      </c>
      <c r="K462">
        <v>0</v>
      </c>
      <c r="L462">
        <v>0</v>
      </c>
      <c r="M462" t="s">
        <v>1301</v>
      </c>
      <c r="N462">
        <v>13200</v>
      </c>
      <c r="O462">
        <v>11413</v>
      </c>
      <c r="P462" t="s">
        <v>1308</v>
      </c>
      <c r="Q462" t="s">
        <v>1315</v>
      </c>
      <c r="AA462">
        <v>0</v>
      </c>
      <c r="AB462">
        <v>0</v>
      </c>
      <c r="AD462">
        <v>0</v>
      </c>
      <c r="AE462">
        <v>0</v>
      </c>
      <c r="AF462">
        <v>0</v>
      </c>
      <c r="AG462">
        <v>0</v>
      </c>
    </row>
    <row r="463" spans="1:33">
      <c r="A463" s="1">
        <f>HYPERLINK("https://lsnyc.legalserver.org/matter/dynamic-profile/view/1914649","19-1914649")</f>
        <v>0</v>
      </c>
      <c r="B463" t="s">
        <v>36</v>
      </c>
      <c r="C463" t="s">
        <v>46</v>
      </c>
      <c r="D463" t="s">
        <v>281</v>
      </c>
      <c r="E463" t="s">
        <v>784</v>
      </c>
      <c r="F463">
        <v>2094</v>
      </c>
      <c r="G463" t="s">
        <v>1195</v>
      </c>
      <c r="I463" t="s">
        <v>1298</v>
      </c>
      <c r="J463">
        <v>4</v>
      </c>
      <c r="K463">
        <v>0</v>
      </c>
      <c r="L463">
        <v>0</v>
      </c>
      <c r="M463" t="s">
        <v>1304</v>
      </c>
      <c r="N463">
        <v>70800</v>
      </c>
      <c r="O463">
        <v>10465</v>
      </c>
      <c r="P463" t="s">
        <v>1310</v>
      </c>
      <c r="Q463" t="s">
        <v>1315</v>
      </c>
      <c r="S463" t="s">
        <v>1332</v>
      </c>
      <c r="T463" t="s">
        <v>1336</v>
      </c>
      <c r="W463" t="s">
        <v>1361</v>
      </c>
      <c r="Y463" t="s">
        <v>1366</v>
      </c>
      <c r="AA463">
        <v>0</v>
      </c>
      <c r="AB463">
        <v>0</v>
      </c>
      <c r="AD463">
        <v>0</v>
      </c>
      <c r="AE463">
        <v>0</v>
      </c>
      <c r="AF463">
        <v>0</v>
      </c>
      <c r="AG463">
        <v>0</v>
      </c>
    </row>
    <row r="464" spans="1:33">
      <c r="A464" s="1">
        <f>HYPERLINK("https://lsnyc.legalserver.org/matter/dynamic-profile/view/1914835","19-1914835")</f>
        <v>0</v>
      </c>
      <c r="B464" t="s">
        <v>33</v>
      </c>
      <c r="C464" t="s">
        <v>70</v>
      </c>
      <c r="D464" t="s">
        <v>440</v>
      </c>
      <c r="E464" t="s">
        <v>974</v>
      </c>
      <c r="F464">
        <v>2090</v>
      </c>
      <c r="I464" t="s">
        <v>1298</v>
      </c>
      <c r="J464">
        <v>1</v>
      </c>
      <c r="K464">
        <v>0</v>
      </c>
      <c r="L464">
        <v>0</v>
      </c>
      <c r="N464">
        <v>13140</v>
      </c>
      <c r="O464">
        <v>10302</v>
      </c>
      <c r="P464" t="s">
        <v>1307</v>
      </c>
      <c r="AA464">
        <v>0</v>
      </c>
      <c r="AB464">
        <v>0</v>
      </c>
      <c r="AD464">
        <v>0</v>
      </c>
      <c r="AE464">
        <v>0</v>
      </c>
      <c r="AF464">
        <v>0</v>
      </c>
      <c r="AG464">
        <v>0</v>
      </c>
    </row>
    <row r="465" spans="1:33">
      <c r="A465" s="1">
        <f>HYPERLINK("https://lsnyc.legalserver.org/matter/dynamic-profile/view/1914983","19-1914983")</f>
        <v>0</v>
      </c>
      <c r="B465" t="s">
        <v>36</v>
      </c>
      <c r="C465" t="s">
        <v>46</v>
      </c>
      <c r="D465" t="s">
        <v>441</v>
      </c>
      <c r="E465" t="s">
        <v>975</v>
      </c>
      <c r="F465">
        <v>2094</v>
      </c>
      <c r="G465" t="s">
        <v>1230</v>
      </c>
      <c r="I465" t="s">
        <v>1298</v>
      </c>
      <c r="J465">
        <v>3</v>
      </c>
      <c r="K465">
        <v>0</v>
      </c>
      <c r="L465">
        <v>0</v>
      </c>
      <c r="M465" t="s">
        <v>1302</v>
      </c>
      <c r="N465">
        <v>93000</v>
      </c>
      <c r="O465">
        <v>10469</v>
      </c>
      <c r="P465" t="s">
        <v>1310</v>
      </c>
      <c r="Q465" t="s">
        <v>1325</v>
      </c>
      <c r="S465" t="s">
        <v>1336</v>
      </c>
      <c r="W465" t="s">
        <v>1366</v>
      </c>
      <c r="AA465">
        <v>0</v>
      </c>
      <c r="AB465">
        <v>0</v>
      </c>
      <c r="AD465">
        <v>0</v>
      </c>
      <c r="AE465">
        <v>0</v>
      </c>
      <c r="AF465">
        <v>0</v>
      </c>
      <c r="AG465">
        <v>0</v>
      </c>
    </row>
    <row r="466" spans="1:33">
      <c r="A466" s="1">
        <f>HYPERLINK("https://lsnyc.legalserver.org/matter/dynamic-profile/view/1915038","19-1915038")</f>
        <v>0</v>
      </c>
      <c r="B466" t="s">
        <v>36</v>
      </c>
      <c r="C466" t="s">
        <v>46</v>
      </c>
      <c r="D466" t="s">
        <v>442</v>
      </c>
      <c r="E466" t="s">
        <v>794</v>
      </c>
      <c r="F466">
        <v>2094</v>
      </c>
      <c r="G466" t="s">
        <v>1180</v>
      </c>
      <c r="I466" t="s">
        <v>1298</v>
      </c>
      <c r="J466">
        <v>3</v>
      </c>
      <c r="K466">
        <v>0</v>
      </c>
      <c r="L466">
        <v>0</v>
      </c>
      <c r="M466" t="s">
        <v>1302</v>
      </c>
      <c r="N466">
        <v>98200</v>
      </c>
      <c r="O466">
        <v>10462</v>
      </c>
      <c r="P466" t="s">
        <v>1310</v>
      </c>
      <c r="Q466" t="s">
        <v>1321</v>
      </c>
      <c r="S466" t="s">
        <v>1336</v>
      </c>
      <c r="W466" t="s">
        <v>1366</v>
      </c>
      <c r="AA466">
        <v>0</v>
      </c>
      <c r="AB466">
        <v>0</v>
      </c>
      <c r="AD466">
        <v>0</v>
      </c>
      <c r="AE466">
        <v>0</v>
      </c>
      <c r="AF466">
        <v>0</v>
      </c>
      <c r="AG466">
        <v>0</v>
      </c>
    </row>
    <row r="467" spans="1:33">
      <c r="A467" s="1">
        <f>HYPERLINK("https://lsnyc.legalserver.org/matter/dynamic-profile/view/1915224","19-1915224")</f>
        <v>0</v>
      </c>
      <c r="B467" t="s">
        <v>33</v>
      </c>
      <c r="C467" t="s">
        <v>56</v>
      </c>
      <c r="D467" t="s">
        <v>443</v>
      </c>
      <c r="E467" t="s">
        <v>967</v>
      </c>
      <c r="F467">
        <v>2090</v>
      </c>
      <c r="I467" t="s">
        <v>1298</v>
      </c>
      <c r="J467">
        <v>2</v>
      </c>
      <c r="K467">
        <v>0</v>
      </c>
      <c r="L467">
        <v>0</v>
      </c>
      <c r="N467">
        <v>29080</v>
      </c>
      <c r="O467">
        <v>10305</v>
      </c>
      <c r="P467" t="s">
        <v>1307</v>
      </c>
      <c r="AA467">
        <v>0</v>
      </c>
      <c r="AB467">
        <v>0</v>
      </c>
      <c r="AD467">
        <v>0</v>
      </c>
      <c r="AE467">
        <v>0</v>
      </c>
      <c r="AF467">
        <v>0</v>
      </c>
      <c r="AG467">
        <v>0</v>
      </c>
    </row>
    <row r="468" spans="1:33">
      <c r="A468" s="1">
        <f>HYPERLINK("https://lsnyc.legalserver.org/matter/dynamic-profile/view/1915373","19-1915373")</f>
        <v>0</v>
      </c>
      <c r="B468" t="s">
        <v>34</v>
      </c>
      <c r="C468" t="s">
        <v>57</v>
      </c>
      <c r="D468" t="s">
        <v>444</v>
      </c>
      <c r="E468" t="s">
        <v>631</v>
      </c>
      <c r="F468">
        <v>2093</v>
      </c>
      <c r="I468" t="s">
        <v>1298</v>
      </c>
      <c r="J468">
        <v>1</v>
      </c>
      <c r="K468">
        <v>0</v>
      </c>
      <c r="L468">
        <v>0</v>
      </c>
      <c r="N468">
        <v>0</v>
      </c>
      <c r="O468">
        <v>11436</v>
      </c>
      <c r="P468" t="s">
        <v>1308</v>
      </c>
      <c r="AA468">
        <v>0</v>
      </c>
      <c r="AB468">
        <v>0</v>
      </c>
      <c r="AD468">
        <v>0</v>
      </c>
      <c r="AE468">
        <v>0</v>
      </c>
      <c r="AF468">
        <v>0</v>
      </c>
      <c r="AG468">
        <v>0</v>
      </c>
    </row>
    <row r="469" spans="1:33">
      <c r="A469" s="1">
        <f>HYPERLINK("https://lsnyc.legalserver.org/matter/dynamic-profile/view/1915542","19-1915542")</f>
        <v>0</v>
      </c>
      <c r="B469" t="s">
        <v>33</v>
      </c>
      <c r="C469" t="s">
        <v>63</v>
      </c>
      <c r="D469" t="s">
        <v>445</v>
      </c>
      <c r="E469" t="s">
        <v>625</v>
      </c>
      <c r="F469">
        <v>2090</v>
      </c>
      <c r="I469" t="s">
        <v>1298</v>
      </c>
      <c r="J469">
        <v>1</v>
      </c>
      <c r="K469">
        <v>0</v>
      </c>
      <c r="L469">
        <v>0</v>
      </c>
      <c r="N469">
        <v>0</v>
      </c>
      <c r="O469">
        <v>10310</v>
      </c>
      <c r="P469" t="s">
        <v>1307</v>
      </c>
      <c r="AA469">
        <v>0</v>
      </c>
      <c r="AB469">
        <v>0</v>
      </c>
      <c r="AD469">
        <v>0</v>
      </c>
      <c r="AE469">
        <v>0</v>
      </c>
      <c r="AF469">
        <v>0</v>
      </c>
      <c r="AG469">
        <v>0</v>
      </c>
    </row>
    <row r="470" spans="1:33">
      <c r="A470" s="1">
        <f>HYPERLINK("https://lsnyc.legalserver.org/matter/dynamic-profile/view/1915995","19-1915995")</f>
        <v>0</v>
      </c>
      <c r="B470" t="s">
        <v>34</v>
      </c>
      <c r="C470" t="s">
        <v>44</v>
      </c>
      <c r="D470" t="s">
        <v>252</v>
      </c>
      <c r="E470" t="s">
        <v>946</v>
      </c>
      <c r="F470">
        <v>2093</v>
      </c>
      <c r="G470" t="s">
        <v>1277</v>
      </c>
      <c r="H470" t="s">
        <v>1195</v>
      </c>
      <c r="I470" t="s">
        <v>1298</v>
      </c>
      <c r="J470">
        <v>2</v>
      </c>
      <c r="K470">
        <v>0</v>
      </c>
      <c r="L470">
        <v>0</v>
      </c>
      <c r="M470" t="s">
        <v>1302</v>
      </c>
      <c r="N470">
        <v>36400</v>
      </c>
      <c r="O470">
        <v>11434</v>
      </c>
      <c r="P470" t="s">
        <v>1308</v>
      </c>
      <c r="Q470" t="s">
        <v>1321</v>
      </c>
      <c r="AA470">
        <v>0</v>
      </c>
      <c r="AB470">
        <v>0</v>
      </c>
      <c r="AD470">
        <v>0</v>
      </c>
      <c r="AE470">
        <v>0</v>
      </c>
      <c r="AF470">
        <v>0</v>
      </c>
      <c r="AG470">
        <v>0</v>
      </c>
    </row>
    <row r="471" spans="1:33">
      <c r="A471" s="1">
        <f>HYPERLINK("https://lsnyc.legalserver.org/matter/dynamic-profile/view/1916000","19-1916000")</f>
        <v>0</v>
      </c>
      <c r="B471" t="s">
        <v>34</v>
      </c>
      <c r="C471" t="s">
        <v>44</v>
      </c>
      <c r="D471" t="s">
        <v>446</v>
      </c>
      <c r="E471" t="s">
        <v>976</v>
      </c>
      <c r="F471">
        <v>2093</v>
      </c>
      <c r="G471" t="s">
        <v>1208</v>
      </c>
      <c r="I471" t="s">
        <v>1298</v>
      </c>
      <c r="J471">
        <v>2</v>
      </c>
      <c r="K471">
        <v>2</v>
      </c>
      <c r="L471">
        <v>0</v>
      </c>
      <c r="M471" t="s">
        <v>1304</v>
      </c>
      <c r="N471">
        <v>768000</v>
      </c>
      <c r="O471">
        <v>11434</v>
      </c>
      <c r="P471" t="s">
        <v>1308</v>
      </c>
      <c r="Q471" t="s">
        <v>1315</v>
      </c>
      <c r="AA471">
        <v>0</v>
      </c>
      <c r="AB471">
        <v>0</v>
      </c>
      <c r="AD471">
        <v>0</v>
      </c>
      <c r="AE471">
        <v>0</v>
      </c>
      <c r="AF471">
        <v>0</v>
      </c>
      <c r="AG471">
        <v>0</v>
      </c>
    </row>
    <row r="472" spans="1:33">
      <c r="A472" s="1">
        <f>HYPERLINK("https://lsnyc.legalserver.org/matter/dynamic-profile/view/1916258","19-1916258")</f>
        <v>0</v>
      </c>
      <c r="B472" t="s">
        <v>34</v>
      </c>
      <c r="C472" t="s">
        <v>42</v>
      </c>
      <c r="D472" t="s">
        <v>367</v>
      </c>
      <c r="E472" t="s">
        <v>614</v>
      </c>
      <c r="F472">
        <v>2093</v>
      </c>
      <c r="I472" t="s">
        <v>1298</v>
      </c>
      <c r="J472">
        <v>1</v>
      </c>
      <c r="K472">
        <v>0</v>
      </c>
      <c r="L472">
        <v>0</v>
      </c>
      <c r="N472">
        <v>26400</v>
      </c>
      <c r="O472">
        <v>11435</v>
      </c>
      <c r="P472" t="s">
        <v>1308</v>
      </c>
      <c r="AA472">
        <v>0</v>
      </c>
      <c r="AB472">
        <v>0</v>
      </c>
      <c r="AD472">
        <v>0</v>
      </c>
      <c r="AE472">
        <v>0</v>
      </c>
      <c r="AF472">
        <v>0</v>
      </c>
      <c r="AG472">
        <v>0</v>
      </c>
    </row>
    <row r="473" spans="1:33">
      <c r="A473" s="1">
        <f>HYPERLINK("https://lsnyc.legalserver.org/matter/dynamic-profile/view/1916263","19-1916263")</f>
        <v>0</v>
      </c>
      <c r="B473" t="s">
        <v>35</v>
      </c>
      <c r="C473" t="s">
        <v>55</v>
      </c>
      <c r="D473" t="s">
        <v>447</v>
      </c>
      <c r="E473" t="s">
        <v>977</v>
      </c>
      <c r="F473">
        <v>2091</v>
      </c>
      <c r="I473" t="s">
        <v>1298</v>
      </c>
      <c r="J473">
        <v>2</v>
      </c>
      <c r="K473">
        <v>0</v>
      </c>
      <c r="L473">
        <v>0</v>
      </c>
      <c r="N473">
        <v>31896</v>
      </c>
      <c r="O473">
        <v>11234</v>
      </c>
      <c r="P473" t="s">
        <v>1309</v>
      </c>
      <c r="AA473">
        <v>0</v>
      </c>
      <c r="AB473">
        <v>0</v>
      </c>
      <c r="AD473">
        <v>0</v>
      </c>
      <c r="AE473">
        <v>0</v>
      </c>
      <c r="AF473">
        <v>0</v>
      </c>
      <c r="AG473">
        <v>0</v>
      </c>
    </row>
    <row r="474" spans="1:33">
      <c r="A474" s="1">
        <f>HYPERLINK("https://lsnyc.legalserver.org/matter/dynamic-profile/view/1916490","19-1916490")</f>
        <v>0</v>
      </c>
      <c r="B474" t="s">
        <v>36</v>
      </c>
      <c r="C474" t="s">
        <v>46</v>
      </c>
      <c r="D474" t="s">
        <v>448</v>
      </c>
      <c r="E474" t="s">
        <v>644</v>
      </c>
      <c r="F474">
        <v>2094</v>
      </c>
      <c r="G474" t="s">
        <v>1207</v>
      </c>
      <c r="I474" t="s">
        <v>1298</v>
      </c>
      <c r="J474">
        <v>2</v>
      </c>
      <c r="K474">
        <v>0</v>
      </c>
      <c r="L474">
        <v>0</v>
      </c>
      <c r="M474" t="s">
        <v>1301</v>
      </c>
      <c r="N474">
        <v>220000</v>
      </c>
      <c r="O474">
        <v>10466</v>
      </c>
      <c r="P474" t="s">
        <v>1310</v>
      </c>
      <c r="Q474" t="s">
        <v>1314</v>
      </c>
      <c r="AA474">
        <v>0</v>
      </c>
      <c r="AB474">
        <v>0</v>
      </c>
      <c r="AD474">
        <v>0</v>
      </c>
      <c r="AE474">
        <v>0</v>
      </c>
      <c r="AF474">
        <v>0</v>
      </c>
      <c r="AG474">
        <v>0</v>
      </c>
    </row>
    <row r="475" spans="1:33">
      <c r="A475" s="1">
        <f>HYPERLINK("https://lsnyc.legalserver.org/matter/dynamic-profile/view/1916519","19-1916519")</f>
        <v>0</v>
      </c>
      <c r="B475" t="s">
        <v>36</v>
      </c>
      <c r="C475" t="s">
        <v>46</v>
      </c>
      <c r="D475" t="s">
        <v>449</v>
      </c>
      <c r="E475" t="s">
        <v>978</v>
      </c>
      <c r="F475">
        <v>2094</v>
      </c>
      <c r="I475" t="s">
        <v>1298</v>
      </c>
      <c r="J475">
        <v>3</v>
      </c>
      <c r="K475">
        <v>0</v>
      </c>
      <c r="L475">
        <v>1</v>
      </c>
      <c r="M475" t="s">
        <v>1302</v>
      </c>
      <c r="N475">
        <v>46776</v>
      </c>
      <c r="O475">
        <v>10473</v>
      </c>
      <c r="P475" t="s">
        <v>1310</v>
      </c>
      <c r="Q475" t="s">
        <v>1315</v>
      </c>
      <c r="R475" t="s">
        <v>1314</v>
      </c>
      <c r="AA475">
        <v>0</v>
      </c>
      <c r="AB475">
        <v>0</v>
      </c>
      <c r="AD475">
        <v>0</v>
      </c>
      <c r="AE475">
        <v>0</v>
      </c>
      <c r="AF475">
        <v>0</v>
      </c>
      <c r="AG475">
        <v>0</v>
      </c>
    </row>
    <row r="476" spans="1:33">
      <c r="A476" s="1">
        <f>HYPERLINK("https://lsnyc.legalserver.org/matter/dynamic-profile/view/1916521","19-1916521")</f>
        <v>0</v>
      </c>
      <c r="B476" t="s">
        <v>34</v>
      </c>
      <c r="C476" t="s">
        <v>42</v>
      </c>
      <c r="D476" t="s">
        <v>450</v>
      </c>
      <c r="E476" t="s">
        <v>202</v>
      </c>
      <c r="F476">
        <v>2093</v>
      </c>
      <c r="I476" t="s">
        <v>1298</v>
      </c>
      <c r="J476">
        <v>1</v>
      </c>
      <c r="K476">
        <v>1</v>
      </c>
      <c r="L476">
        <v>0</v>
      </c>
      <c r="N476">
        <v>16200</v>
      </c>
      <c r="O476">
        <v>11434</v>
      </c>
      <c r="P476" t="s">
        <v>1308</v>
      </c>
      <c r="AA476">
        <v>0</v>
      </c>
      <c r="AB476">
        <v>0</v>
      </c>
      <c r="AD476">
        <v>0</v>
      </c>
      <c r="AE476">
        <v>0</v>
      </c>
      <c r="AF476">
        <v>0</v>
      </c>
      <c r="AG476">
        <v>0</v>
      </c>
    </row>
    <row r="477" spans="1:33">
      <c r="A477" s="1">
        <f>HYPERLINK("https://lsnyc.legalserver.org/matter/dynamic-profile/view/1916561","19-1916561")</f>
        <v>0</v>
      </c>
      <c r="B477" t="s">
        <v>36</v>
      </c>
      <c r="C477" t="s">
        <v>46</v>
      </c>
      <c r="D477" t="s">
        <v>451</v>
      </c>
      <c r="E477" t="s">
        <v>979</v>
      </c>
      <c r="F477">
        <v>2094</v>
      </c>
      <c r="G477" t="s">
        <v>1213</v>
      </c>
      <c r="I477" t="s">
        <v>1298</v>
      </c>
      <c r="J477">
        <v>3</v>
      </c>
      <c r="K477">
        <v>2</v>
      </c>
      <c r="L477">
        <v>0</v>
      </c>
      <c r="M477" t="s">
        <v>1303</v>
      </c>
      <c r="N477">
        <v>124280</v>
      </c>
      <c r="O477">
        <v>10462</v>
      </c>
      <c r="P477" t="s">
        <v>1310</v>
      </c>
      <c r="Q477" t="s">
        <v>1314</v>
      </c>
      <c r="AA477">
        <v>0</v>
      </c>
      <c r="AB477">
        <v>0</v>
      </c>
      <c r="AD477">
        <v>0</v>
      </c>
      <c r="AE477">
        <v>0</v>
      </c>
      <c r="AF477">
        <v>0</v>
      </c>
      <c r="AG477">
        <v>0</v>
      </c>
    </row>
    <row r="478" spans="1:33">
      <c r="A478" s="1">
        <f>HYPERLINK("https://lsnyc.legalserver.org/matter/dynamic-profile/view/1916632","19-1916632")</f>
        <v>0</v>
      </c>
      <c r="B478" t="s">
        <v>34</v>
      </c>
      <c r="C478" t="s">
        <v>68</v>
      </c>
      <c r="D478" t="s">
        <v>452</v>
      </c>
      <c r="E478" t="s">
        <v>923</v>
      </c>
      <c r="F478">
        <v>2093</v>
      </c>
      <c r="G478" t="s">
        <v>1185</v>
      </c>
      <c r="I478" t="s">
        <v>1298</v>
      </c>
      <c r="J478">
        <v>4</v>
      </c>
      <c r="K478">
        <v>2</v>
      </c>
      <c r="L478">
        <v>0</v>
      </c>
      <c r="M478" t="s">
        <v>1301</v>
      </c>
      <c r="N478">
        <v>48000</v>
      </c>
      <c r="O478">
        <v>11422</v>
      </c>
      <c r="P478" t="s">
        <v>1308</v>
      </c>
      <c r="Q478" t="s">
        <v>1314</v>
      </c>
      <c r="AA478">
        <v>0</v>
      </c>
      <c r="AB478">
        <v>0</v>
      </c>
      <c r="AD478">
        <v>0</v>
      </c>
      <c r="AE478">
        <v>0</v>
      </c>
      <c r="AF478">
        <v>0</v>
      </c>
      <c r="AG478">
        <v>0</v>
      </c>
    </row>
    <row r="479" spans="1:33">
      <c r="A479" s="1">
        <f>HYPERLINK("https://lsnyc.legalserver.org/matter/dynamic-profile/view/1917274","19-1917274")</f>
        <v>0</v>
      </c>
      <c r="B479" t="s">
        <v>34</v>
      </c>
      <c r="C479" t="s">
        <v>42</v>
      </c>
      <c r="D479" t="s">
        <v>453</v>
      </c>
      <c r="E479" t="s">
        <v>876</v>
      </c>
      <c r="F479">
        <v>2093</v>
      </c>
      <c r="G479" t="s">
        <v>1178</v>
      </c>
      <c r="I479" t="s">
        <v>1298</v>
      </c>
      <c r="J479">
        <v>1</v>
      </c>
      <c r="K479">
        <v>0</v>
      </c>
      <c r="L479">
        <v>1</v>
      </c>
      <c r="M479" t="s">
        <v>1301</v>
      </c>
      <c r="N479">
        <v>18600</v>
      </c>
      <c r="O479">
        <v>11434</v>
      </c>
      <c r="P479" t="s">
        <v>1308</v>
      </c>
      <c r="Q479" t="s">
        <v>1315</v>
      </c>
      <c r="AA479">
        <v>0</v>
      </c>
      <c r="AB479">
        <v>0</v>
      </c>
      <c r="AD479">
        <v>0</v>
      </c>
      <c r="AE479">
        <v>0</v>
      </c>
      <c r="AF479">
        <v>0</v>
      </c>
      <c r="AG479">
        <v>0</v>
      </c>
    </row>
    <row r="480" spans="1:33">
      <c r="A480" s="1">
        <f>HYPERLINK("https://lsnyc.legalserver.org/matter/dynamic-profile/view/1917160","19-1917160")</f>
        <v>0</v>
      </c>
      <c r="B480" t="s">
        <v>34</v>
      </c>
      <c r="C480" t="s">
        <v>39</v>
      </c>
      <c r="D480" t="s">
        <v>313</v>
      </c>
      <c r="E480" t="s">
        <v>766</v>
      </c>
      <c r="F480">
        <v>2093</v>
      </c>
      <c r="I480" t="s">
        <v>1298</v>
      </c>
      <c r="J480">
        <v>1</v>
      </c>
      <c r="K480">
        <v>0</v>
      </c>
      <c r="L480">
        <v>0</v>
      </c>
      <c r="N480">
        <v>70000</v>
      </c>
      <c r="O480">
        <v>11434</v>
      </c>
      <c r="P480" t="s">
        <v>1308</v>
      </c>
      <c r="AA480">
        <v>0</v>
      </c>
      <c r="AB480">
        <v>0</v>
      </c>
      <c r="AD480">
        <v>0</v>
      </c>
      <c r="AE480">
        <v>0</v>
      </c>
      <c r="AF480">
        <v>0</v>
      </c>
      <c r="AG480">
        <v>0</v>
      </c>
    </row>
    <row r="481" spans="1:33">
      <c r="A481" s="1">
        <f>HYPERLINK("https://lsnyc.legalserver.org/matter/dynamic-profile/view/1912813","19-1912813")</f>
        <v>0</v>
      </c>
      <c r="B481" t="s">
        <v>35</v>
      </c>
      <c r="C481" t="s">
        <v>51</v>
      </c>
      <c r="D481" t="s">
        <v>454</v>
      </c>
      <c r="E481" t="s">
        <v>980</v>
      </c>
      <c r="F481">
        <v>2091</v>
      </c>
      <c r="I481" t="s">
        <v>1299</v>
      </c>
      <c r="J481">
        <v>2</v>
      </c>
      <c r="K481">
        <v>0</v>
      </c>
      <c r="L481">
        <v>0</v>
      </c>
      <c r="N481">
        <v>29256</v>
      </c>
      <c r="O481">
        <v>11208</v>
      </c>
      <c r="P481" t="s">
        <v>1309</v>
      </c>
      <c r="Q481" t="s">
        <v>1314</v>
      </c>
      <c r="S481" t="s">
        <v>1337</v>
      </c>
      <c r="W481" t="s">
        <v>1366</v>
      </c>
      <c r="AA481">
        <v>0</v>
      </c>
      <c r="AB481">
        <v>0</v>
      </c>
      <c r="AD481">
        <v>0</v>
      </c>
      <c r="AE481">
        <v>0</v>
      </c>
      <c r="AF481">
        <v>0</v>
      </c>
      <c r="AG481">
        <v>0</v>
      </c>
    </row>
    <row r="482" spans="1:33">
      <c r="A482" s="1">
        <f>HYPERLINK("https://lsnyc.legalserver.org/matter/dynamic-profile/view/0771330","15-0771330")</f>
        <v>0</v>
      </c>
      <c r="B482" t="s">
        <v>35</v>
      </c>
      <c r="C482" t="s">
        <v>55</v>
      </c>
      <c r="D482" t="s">
        <v>455</v>
      </c>
      <c r="E482" t="s">
        <v>981</v>
      </c>
      <c r="F482">
        <v>2091</v>
      </c>
      <c r="G482" t="s">
        <v>1198</v>
      </c>
      <c r="I482" t="s">
        <v>1299</v>
      </c>
      <c r="J482">
        <v>1</v>
      </c>
      <c r="K482">
        <v>1</v>
      </c>
      <c r="L482">
        <v>2</v>
      </c>
      <c r="M482" t="s">
        <v>1302</v>
      </c>
      <c r="N482">
        <v>104940</v>
      </c>
      <c r="O482">
        <v>11236</v>
      </c>
      <c r="P482" t="s">
        <v>1309</v>
      </c>
      <c r="Q482" t="s">
        <v>1315</v>
      </c>
      <c r="R482" t="s">
        <v>1327</v>
      </c>
      <c r="S482" t="s">
        <v>1338</v>
      </c>
      <c r="T482" t="s">
        <v>1350</v>
      </c>
      <c r="U482" t="s">
        <v>1352</v>
      </c>
      <c r="W482" t="s">
        <v>1363</v>
      </c>
      <c r="Y482" t="s">
        <v>1361</v>
      </c>
      <c r="AA482">
        <v>0</v>
      </c>
      <c r="AB482">
        <v>0</v>
      </c>
      <c r="AD482">
        <v>0</v>
      </c>
      <c r="AE482">
        <v>0</v>
      </c>
      <c r="AF482">
        <v>0</v>
      </c>
      <c r="AG482">
        <v>0</v>
      </c>
    </row>
    <row r="483" spans="1:33">
      <c r="A483" s="1">
        <f>HYPERLINK("https://lsnyc.legalserver.org/matter/dynamic-profile/view/1902790","19-1902790")</f>
        <v>0</v>
      </c>
      <c r="B483" t="s">
        <v>35</v>
      </c>
      <c r="C483" t="s">
        <v>55</v>
      </c>
      <c r="D483" t="s">
        <v>456</v>
      </c>
      <c r="E483" t="s">
        <v>982</v>
      </c>
      <c r="F483">
        <v>2091</v>
      </c>
      <c r="G483" t="s">
        <v>1198</v>
      </c>
      <c r="I483" t="s">
        <v>1299</v>
      </c>
      <c r="J483">
        <v>2</v>
      </c>
      <c r="K483">
        <v>1</v>
      </c>
      <c r="L483">
        <v>0</v>
      </c>
      <c r="M483" t="s">
        <v>1302</v>
      </c>
      <c r="N483">
        <v>20800</v>
      </c>
      <c r="O483">
        <v>11236</v>
      </c>
      <c r="P483" t="s">
        <v>1309</v>
      </c>
      <c r="Q483" t="s">
        <v>1320</v>
      </c>
      <c r="R483" t="s">
        <v>1321</v>
      </c>
      <c r="S483" t="s">
        <v>1337</v>
      </c>
      <c r="W483" t="s">
        <v>1366</v>
      </c>
      <c r="AA483">
        <v>0</v>
      </c>
      <c r="AB483">
        <v>0</v>
      </c>
      <c r="AD483">
        <v>0</v>
      </c>
      <c r="AE483">
        <v>0</v>
      </c>
      <c r="AF483">
        <v>0</v>
      </c>
      <c r="AG483">
        <v>0</v>
      </c>
    </row>
    <row r="484" spans="1:33">
      <c r="A484" s="1">
        <f>HYPERLINK("https://lsnyc.legalserver.org/matter/dynamic-profile/view/1872382","18-1872382")</f>
        <v>0</v>
      </c>
      <c r="B484" t="s">
        <v>33</v>
      </c>
      <c r="C484" t="s">
        <v>53</v>
      </c>
      <c r="D484" t="s">
        <v>148</v>
      </c>
      <c r="E484" t="s">
        <v>675</v>
      </c>
      <c r="F484">
        <v>2090</v>
      </c>
      <c r="G484" t="s">
        <v>1206</v>
      </c>
      <c r="I484" t="s">
        <v>1299</v>
      </c>
      <c r="J484">
        <v>3</v>
      </c>
      <c r="K484">
        <v>0</v>
      </c>
      <c r="L484">
        <v>0</v>
      </c>
      <c r="M484" t="s">
        <v>1302</v>
      </c>
      <c r="N484">
        <v>46800</v>
      </c>
      <c r="O484">
        <v>10310</v>
      </c>
      <c r="P484" t="s">
        <v>1307</v>
      </c>
      <c r="Q484" t="s">
        <v>1316</v>
      </c>
      <c r="S484" t="s">
        <v>1333</v>
      </c>
      <c r="T484" t="s">
        <v>1334</v>
      </c>
      <c r="W484" t="s">
        <v>1370</v>
      </c>
      <c r="Y484" t="s">
        <v>1378</v>
      </c>
      <c r="AA484">
        <v>0</v>
      </c>
      <c r="AB484">
        <v>0</v>
      </c>
      <c r="AC484">
        <v>43198.02</v>
      </c>
      <c r="AD484">
        <v>0</v>
      </c>
      <c r="AE484">
        <v>0</v>
      </c>
      <c r="AF484">
        <v>0</v>
      </c>
      <c r="AG484">
        <v>0</v>
      </c>
    </row>
    <row r="485" spans="1:33">
      <c r="A485" s="1">
        <f>HYPERLINK("https://lsnyc.legalserver.org/matter/dynamic-profile/view/1899316","19-1899316")</f>
        <v>0</v>
      </c>
      <c r="B485" t="s">
        <v>33</v>
      </c>
      <c r="C485" t="s">
        <v>63</v>
      </c>
      <c r="D485" t="s">
        <v>149</v>
      </c>
      <c r="E485" t="s">
        <v>676</v>
      </c>
      <c r="F485">
        <v>2090</v>
      </c>
      <c r="I485" t="s">
        <v>1299</v>
      </c>
      <c r="J485">
        <v>2</v>
      </c>
      <c r="K485">
        <v>2</v>
      </c>
      <c r="L485">
        <v>0</v>
      </c>
      <c r="N485">
        <v>0</v>
      </c>
      <c r="O485">
        <v>10310</v>
      </c>
      <c r="P485" t="s">
        <v>1307</v>
      </c>
      <c r="Q485" t="s">
        <v>1326</v>
      </c>
      <c r="S485" t="s">
        <v>1334</v>
      </c>
      <c r="W485" t="s">
        <v>1370</v>
      </c>
      <c r="AA485">
        <v>0</v>
      </c>
      <c r="AB485">
        <v>0</v>
      </c>
      <c r="AD485">
        <v>0</v>
      </c>
      <c r="AE485">
        <v>0</v>
      </c>
      <c r="AF485">
        <v>0</v>
      </c>
      <c r="AG485">
        <v>0</v>
      </c>
    </row>
    <row r="486" spans="1:33">
      <c r="A486" s="1">
        <f>HYPERLINK("https://lsnyc.legalserver.org/matter/dynamic-profile/view/1907440","19-1907440")</f>
        <v>0</v>
      </c>
      <c r="B486" t="s">
        <v>36</v>
      </c>
      <c r="C486" t="s">
        <v>46</v>
      </c>
      <c r="D486" t="s">
        <v>457</v>
      </c>
      <c r="E486" t="s">
        <v>903</v>
      </c>
      <c r="F486">
        <v>2094</v>
      </c>
      <c r="G486" t="s">
        <v>1200</v>
      </c>
      <c r="I486" t="s">
        <v>1299</v>
      </c>
      <c r="J486">
        <v>2</v>
      </c>
      <c r="K486">
        <v>1</v>
      </c>
      <c r="L486">
        <v>0</v>
      </c>
      <c r="M486" t="s">
        <v>1303</v>
      </c>
      <c r="N486">
        <v>35635.56</v>
      </c>
      <c r="O486">
        <v>10473</v>
      </c>
      <c r="P486" t="s">
        <v>1310</v>
      </c>
      <c r="Q486" t="s">
        <v>1326</v>
      </c>
      <c r="S486" t="s">
        <v>1337</v>
      </c>
      <c r="T486" t="s">
        <v>1332</v>
      </c>
      <c r="W486" t="s">
        <v>1366</v>
      </c>
      <c r="AA486">
        <v>0</v>
      </c>
      <c r="AB486">
        <v>0</v>
      </c>
      <c r="AD486">
        <v>0</v>
      </c>
      <c r="AE486">
        <v>0</v>
      </c>
      <c r="AF486">
        <v>0</v>
      </c>
      <c r="AG486">
        <v>0</v>
      </c>
    </row>
    <row r="487" spans="1:33">
      <c r="A487" s="1">
        <f>HYPERLINK("https://lsnyc.legalserver.org/matter/dynamic-profile/view/1907488","19-1907488")</f>
        <v>0</v>
      </c>
      <c r="B487" t="s">
        <v>36</v>
      </c>
      <c r="C487" t="s">
        <v>46</v>
      </c>
      <c r="D487" t="s">
        <v>260</v>
      </c>
      <c r="E487" t="s">
        <v>983</v>
      </c>
      <c r="F487">
        <v>2094</v>
      </c>
      <c r="G487" t="s">
        <v>1195</v>
      </c>
      <c r="I487" t="s">
        <v>1299</v>
      </c>
      <c r="J487">
        <v>2</v>
      </c>
      <c r="K487">
        <v>3</v>
      </c>
      <c r="L487">
        <v>1</v>
      </c>
      <c r="M487" t="s">
        <v>1302</v>
      </c>
      <c r="N487">
        <v>61400</v>
      </c>
      <c r="O487">
        <v>10474</v>
      </c>
      <c r="P487" t="s">
        <v>1310</v>
      </c>
      <c r="Q487" t="s">
        <v>1321</v>
      </c>
      <c r="R487" t="s">
        <v>1325</v>
      </c>
      <c r="S487" t="s">
        <v>1337</v>
      </c>
      <c r="W487" t="s">
        <v>1366</v>
      </c>
      <c r="AA487">
        <v>0</v>
      </c>
      <c r="AB487">
        <v>0</v>
      </c>
      <c r="AD487">
        <v>0</v>
      </c>
      <c r="AE487">
        <v>0</v>
      </c>
      <c r="AF487">
        <v>0</v>
      </c>
      <c r="AG487">
        <v>0</v>
      </c>
    </row>
    <row r="488" spans="1:33">
      <c r="A488" s="1">
        <f>HYPERLINK("https://lsnyc.legalserver.org/matter/dynamic-profile/view/1907948","19-1907948")</f>
        <v>0</v>
      </c>
      <c r="B488" t="s">
        <v>36</v>
      </c>
      <c r="C488" t="s">
        <v>46</v>
      </c>
      <c r="D488" t="s">
        <v>458</v>
      </c>
      <c r="E488" t="s">
        <v>984</v>
      </c>
      <c r="F488">
        <v>2094</v>
      </c>
      <c r="G488" t="s">
        <v>1209</v>
      </c>
      <c r="I488" t="s">
        <v>1299</v>
      </c>
      <c r="J488">
        <v>1</v>
      </c>
      <c r="K488">
        <v>0</v>
      </c>
      <c r="L488">
        <v>0</v>
      </c>
      <c r="M488" t="s">
        <v>1305</v>
      </c>
      <c r="N488">
        <v>16640</v>
      </c>
      <c r="O488">
        <v>10028</v>
      </c>
      <c r="P488" t="s">
        <v>1311</v>
      </c>
      <c r="Q488" t="s">
        <v>1319</v>
      </c>
      <c r="S488" t="s">
        <v>1336</v>
      </c>
      <c r="W488" t="s">
        <v>1366</v>
      </c>
      <c r="AA488">
        <v>0</v>
      </c>
      <c r="AB488">
        <v>0</v>
      </c>
      <c r="AD488">
        <v>0</v>
      </c>
      <c r="AE488">
        <v>0</v>
      </c>
      <c r="AF488">
        <v>0</v>
      </c>
      <c r="AG488">
        <v>0</v>
      </c>
    </row>
    <row r="489" spans="1:33">
      <c r="A489" s="1">
        <f>HYPERLINK("https://lsnyc.legalserver.org/matter/dynamic-profile/view/1910100","19-1910100")</f>
        <v>0</v>
      </c>
      <c r="B489" t="s">
        <v>36</v>
      </c>
      <c r="C489" t="s">
        <v>46</v>
      </c>
      <c r="D489" t="s">
        <v>459</v>
      </c>
      <c r="E489" t="s">
        <v>767</v>
      </c>
      <c r="F489">
        <v>2094</v>
      </c>
      <c r="G489" t="s">
        <v>1210</v>
      </c>
      <c r="I489" t="s">
        <v>1299</v>
      </c>
      <c r="J489">
        <v>2</v>
      </c>
      <c r="K489">
        <v>0</v>
      </c>
      <c r="L489">
        <v>0</v>
      </c>
      <c r="M489" t="s">
        <v>1302</v>
      </c>
      <c r="N489">
        <v>30000</v>
      </c>
      <c r="O489">
        <v>10473</v>
      </c>
      <c r="P489" t="s">
        <v>1310</v>
      </c>
      <c r="Q489" t="s">
        <v>1319</v>
      </c>
      <c r="S489" t="s">
        <v>1332</v>
      </c>
      <c r="T489" t="s">
        <v>1336</v>
      </c>
      <c r="W489" t="s">
        <v>1361</v>
      </c>
      <c r="Y489" t="s">
        <v>1366</v>
      </c>
      <c r="AA489">
        <v>0</v>
      </c>
      <c r="AB489">
        <v>0</v>
      </c>
      <c r="AD489">
        <v>0</v>
      </c>
      <c r="AE489">
        <v>0</v>
      </c>
      <c r="AF489">
        <v>0</v>
      </c>
      <c r="AG489">
        <v>0</v>
      </c>
    </row>
    <row r="490" spans="1:33">
      <c r="A490" s="1">
        <f>HYPERLINK("https://lsnyc.legalserver.org/matter/dynamic-profile/view/1883329","18-1883329")</f>
        <v>0</v>
      </c>
      <c r="B490" t="s">
        <v>36</v>
      </c>
      <c r="C490" t="s">
        <v>52</v>
      </c>
      <c r="D490" t="s">
        <v>115</v>
      </c>
      <c r="E490" t="s">
        <v>929</v>
      </c>
      <c r="F490">
        <v>2094</v>
      </c>
      <c r="G490" t="s">
        <v>1209</v>
      </c>
      <c r="I490" t="s">
        <v>1299</v>
      </c>
      <c r="J490">
        <v>1</v>
      </c>
      <c r="K490">
        <v>0</v>
      </c>
      <c r="L490">
        <v>0</v>
      </c>
      <c r="M490" t="s">
        <v>1301</v>
      </c>
      <c r="N490">
        <v>21528</v>
      </c>
      <c r="O490">
        <v>10470</v>
      </c>
      <c r="P490" t="s">
        <v>1310</v>
      </c>
      <c r="Q490" t="s">
        <v>1324</v>
      </c>
      <c r="S490" t="s">
        <v>1339</v>
      </c>
      <c r="T490" t="s">
        <v>1336</v>
      </c>
      <c r="W490" t="s">
        <v>1383</v>
      </c>
      <c r="Y490" t="s">
        <v>1365</v>
      </c>
      <c r="AA490">
        <v>0</v>
      </c>
      <c r="AB490">
        <v>0</v>
      </c>
      <c r="AD490">
        <v>0</v>
      </c>
      <c r="AE490">
        <v>0</v>
      </c>
      <c r="AF490">
        <v>0</v>
      </c>
      <c r="AG490">
        <v>0</v>
      </c>
    </row>
    <row r="491" spans="1:33">
      <c r="A491" s="1">
        <f>HYPERLINK("https://lsnyc.legalserver.org/matter/dynamic-profile/view/1894485","19-1894485")</f>
        <v>0</v>
      </c>
      <c r="B491" t="s">
        <v>36</v>
      </c>
      <c r="C491" t="s">
        <v>52</v>
      </c>
      <c r="D491" t="s">
        <v>460</v>
      </c>
      <c r="E491" t="s">
        <v>700</v>
      </c>
      <c r="F491">
        <v>2094</v>
      </c>
      <c r="G491" t="s">
        <v>1207</v>
      </c>
      <c r="I491" t="s">
        <v>1299</v>
      </c>
      <c r="J491">
        <v>1</v>
      </c>
      <c r="K491">
        <v>0</v>
      </c>
      <c r="L491">
        <v>1</v>
      </c>
      <c r="M491" t="s">
        <v>1303</v>
      </c>
      <c r="N491">
        <v>37236</v>
      </c>
      <c r="O491">
        <v>10462</v>
      </c>
      <c r="P491" t="s">
        <v>1310</v>
      </c>
      <c r="Q491" t="s">
        <v>1319</v>
      </c>
      <c r="S491" t="s">
        <v>1334</v>
      </c>
      <c r="T491" t="s">
        <v>1336</v>
      </c>
      <c r="W491" t="s">
        <v>1365</v>
      </c>
      <c r="Y491" t="s">
        <v>1368</v>
      </c>
      <c r="AA491">
        <v>0</v>
      </c>
      <c r="AB491">
        <v>0</v>
      </c>
      <c r="AD491">
        <v>0</v>
      </c>
      <c r="AE491">
        <v>0</v>
      </c>
      <c r="AF491">
        <v>0</v>
      </c>
      <c r="AG491">
        <v>0</v>
      </c>
    </row>
    <row r="492" spans="1:33">
      <c r="A492" s="1">
        <f>HYPERLINK("https://lsnyc.legalserver.org/matter/dynamic-profile/view/1910112","19-1910112")</f>
        <v>0</v>
      </c>
      <c r="B492" t="s">
        <v>36</v>
      </c>
      <c r="C492" t="s">
        <v>46</v>
      </c>
      <c r="D492" t="s">
        <v>461</v>
      </c>
      <c r="E492" t="s">
        <v>985</v>
      </c>
      <c r="F492">
        <v>2094</v>
      </c>
      <c r="G492" t="s">
        <v>1193</v>
      </c>
      <c r="I492" t="s">
        <v>1299</v>
      </c>
      <c r="J492">
        <v>1</v>
      </c>
      <c r="K492">
        <v>1</v>
      </c>
      <c r="L492">
        <v>0</v>
      </c>
      <c r="M492" t="s">
        <v>1302</v>
      </c>
      <c r="N492">
        <v>75400</v>
      </c>
      <c r="O492">
        <v>10457</v>
      </c>
      <c r="P492" t="s">
        <v>1310</v>
      </c>
      <c r="Q492" t="s">
        <v>1318</v>
      </c>
      <c r="S492" t="s">
        <v>1332</v>
      </c>
      <c r="T492" t="s">
        <v>1336</v>
      </c>
      <c r="W492" t="s">
        <v>1361</v>
      </c>
      <c r="Y492" t="s">
        <v>1366</v>
      </c>
      <c r="AA492">
        <v>0</v>
      </c>
      <c r="AB492">
        <v>0</v>
      </c>
      <c r="AD492">
        <v>0</v>
      </c>
      <c r="AE492">
        <v>0</v>
      </c>
      <c r="AF492">
        <v>0</v>
      </c>
      <c r="AG492">
        <v>0</v>
      </c>
    </row>
    <row r="493" spans="1:33">
      <c r="A493" s="1">
        <f>HYPERLINK("https://lsnyc.legalserver.org/matter/dynamic-profile/view/1889773","19-1889773")</f>
        <v>0</v>
      </c>
      <c r="B493" t="s">
        <v>34</v>
      </c>
      <c r="C493" t="s">
        <v>54</v>
      </c>
      <c r="D493" t="s">
        <v>462</v>
      </c>
      <c r="E493" t="s">
        <v>986</v>
      </c>
      <c r="F493">
        <v>2093</v>
      </c>
      <c r="G493" t="s">
        <v>1204</v>
      </c>
      <c r="I493" t="s">
        <v>1299</v>
      </c>
      <c r="J493">
        <v>1</v>
      </c>
      <c r="K493">
        <v>0</v>
      </c>
      <c r="L493">
        <v>0</v>
      </c>
      <c r="M493" t="s">
        <v>1303</v>
      </c>
      <c r="N493">
        <v>8196</v>
      </c>
      <c r="O493">
        <v>11414</v>
      </c>
      <c r="P493" t="s">
        <v>1308</v>
      </c>
      <c r="Q493" t="s">
        <v>1315</v>
      </c>
      <c r="S493" t="s">
        <v>1332</v>
      </c>
      <c r="U493" t="s">
        <v>1352</v>
      </c>
      <c r="W493" t="s">
        <v>1361</v>
      </c>
      <c r="AA493">
        <v>1488.8</v>
      </c>
      <c r="AB493">
        <v>0</v>
      </c>
      <c r="AD493">
        <v>0</v>
      </c>
      <c r="AE493">
        <v>0</v>
      </c>
      <c r="AF493">
        <v>0</v>
      </c>
      <c r="AG493">
        <v>0</v>
      </c>
    </row>
    <row r="494" spans="1:33">
      <c r="A494" s="1">
        <f>HYPERLINK("https://lsnyc.legalserver.org/matter/dynamic-profile/view/1906864","19-1906864")</f>
        <v>0</v>
      </c>
      <c r="B494" t="s">
        <v>34</v>
      </c>
      <c r="C494" t="s">
        <v>54</v>
      </c>
      <c r="D494" t="s">
        <v>269</v>
      </c>
      <c r="E494" t="s">
        <v>987</v>
      </c>
      <c r="F494">
        <v>2093</v>
      </c>
      <c r="G494" t="s">
        <v>1260</v>
      </c>
      <c r="I494" t="s">
        <v>1299</v>
      </c>
      <c r="J494">
        <v>2</v>
      </c>
      <c r="K494">
        <v>1</v>
      </c>
      <c r="L494">
        <v>1</v>
      </c>
      <c r="M494" t="s">
        <v>1302</v>
      </c>
      <c r="N494">
        <v>22048</v>
      </c>
      <c r="O494">
        <v>11691</v>
      </c>
      <c r="P494" t="s">
        <v>1308</v>
      </c>
      <c r="Q494" t="s">
        <v>1320</v>
      </c>
      <c r="S494" t="s">
        <v>1332</v>
      </c>
      <c r="W494" t="s">
        <v>1361</v>
      </c>
      <c r="AA494">
        <v>0</v>
      </c>
      <c r="AB494">
        <v>0</v>
      </c>
      <c r="AD494">
        <v>0</v>
      </c>
      <c r="AE494">
        <v>0</v>
      </c>
      <c r="AF494">
        <v>0</v>
      </c>
      <c r="AG494">
        <v>0</v>
      </c>
    </row>
    <row r="495" spans="1:33">
      <c r="A495" s="1">
        <f>HYPERLINK("https://lsnyc.legalserver.org/matter/dynamic-profile/view/1907334","19-1907334")</f>
        <v>0</v>
      </c>
      <c r="B495" t="s">
        <v>34</v>
      </c>
      <c r="C495" t="s">
        <v>54</v>
      </c>
      <c r="D495" t="s">
        <v>179</v>
      </c>
      <c r="E495" t="s">
        <v>988</v>
      </c>
      <c r="F495">
        <v>2093</v>
      </c>
      <c r="G495" t="s">
        <v>1182</v>
      </c>
      <c r="I495" t="s">
        <v>1299</v>
      </c>
      <c r="J495">
        <v>1</v>
      </c>
      <c r="K495">
        <v>0</v>
      </c>
      <c r="L495">
        <v>0</v>
      </c>
      <c r="M495" t="s">
        <v>1301</v>
      </c>
      <c r="N495">
        <v>40900</v>
      </c>
      <c r="O495">
        <v>11361</v>
      </c>
      <c r="P495" t="s">
        <v>1308</v>
      </c>
      <c r="Q495" t="s">
        <v>1315</v>
      </c>
      <c r="S495" t="s">
        <v>1336</v>
      </c>
      <c r="W495" t="s">
        <v>1384</v>
      </c>
      <c r="AA495">
        <v>0</v>
      </c>
      <c r="AB495">
        <v>0</v>
      </c>
      <c r="AD495">
        <v>0</v>
      </c>
      <c r="AE495">
        <v>0</v>
      </c>
      <c r="AF495">
        <v>0</v>
      </c>
      <c r="AG495">
        <v>0</v>
      </c>
    </row>
    <row r="496" spans="1:33">
      <c r="A496" s="1">
        <f>HYPERLINK("https://lsnyc.legalserver.org/matter/dynamic-profile/view/1907930","19-1907930")</f>
        <v>0</v>
      </c>
      <c r="B496" t="s">
        <v>34</v>
      </c>
      <c r="C496" t="s">
        <v>54</v>
      </c>
      <c r="D496" t="s">
        <v>429</v>
      </c>
      <c r="E496" t="s">
        <v>989</v>
      </c>
      <c r="F496">
        <v>2093</v>
      </c>
      <c r="G496" t="s">
        <v>1278</v>
      </c>
      <c r="I496" t="s">
        <v>1299</v>
      </c>
      <c r="J496">
        <v>2</v>
      </c>
      <c r="K496">
        <v>0</v>
      </c>
      <c r="L496">
        <v>0</v>
      </c>
      <c r="M496" t="s">
        <v>1301</v>
      </c>
      <c r="N496">
        <v>26400</v>
      </c>
      <c r="O496">
        <v>11422</v>
      </c>
      <c r="P496" t="s">
        <v>1308</v>
      </c>
      <c r="Q496" t="s">
        <v>1315</v>
      </c>
      <c r="S496" t="s">
        <v>1336</v>
      </c>
      <c r="W496" t="s">
        <v>1366</v>
      </c>
      <c r="AA496">
        <v>0</v>
      </c>
      <c r="AB496">
        <v>0</v>
      </c>
      <c r="AD496">
        <v>0</v>
      </c>
      <c r="AE496">
        <v>0</v>
      </c>
      <c r="AF496">
        <v>0</v>
      </c>
      <c r="AG496">
        <v>0</v>
      </c>
    </row>
    <row r="497" spans="1:33">
      <c r="A497" s="1">
        <f>HYPERLINK("https://lsnyc.legalserver.org/matter/dynamic-profile/view/1908286","19-1908286")</f>
        <v>0</v>
      </c>
      <c r="B497" t="s">
        <v>34</v>
      </c>
      <c r="C497" t="s">
        <v>54</v>
      </c>
      <c r="D497" t="s">
        <v>352</v>
      </c>
      <c r="E497" t="s">
        <v>990</v>
      </c>
      <c r="F497">
        <v>2093</v>
      </c>
      <c r="G497" t="s">
        <v>1210</v>
      </c>
      <c r="I497" t="s">
        <v>1299</v>
      </c>
      <c r="J497">
        <v>1</v>
      </c>
      <c r="K497">
        <v>0</v>
      </c>
      <c r="L497">
        <v>1</v>
      </c>
      <c r="M497" t="s">
        <v>1301</v>
      </c>
      <c r="N497">
        <v>32544</v>
      </c>
      <c r="O497">
        <v>11691</v>
      </c>
      <c r="P497" t="s">
        <v>1308</v>
      </c>
      <c r="Q497" t="s">
        <v>1318</v>
      </c>
      <c r="S497" t="s">
        <v>1332</v>
      </c>
      <c r="W497" t="s">
        <v>1361</v>
      </c>
      <c r="AA497">
        <v>0</v>
      </c>
      <c r="AB497">
        <v>0</v>
      </c>
      <c r="AD497">
        <v>0</v>
      </c>
      <c r="AE497">
        <v>0</v>
      </c>
      <c r="AF497">
        <v>0</v>
      </c>
      <c r="AG497">
        <v>0</v>
      </c>
    </row>
    <row r="498" spans="1:33">
      <c r="A498" s="1">
        <f>HYPERLINK("https://lsnyc.legalserver.org/matter/dynamic-profile/view/1909435","19-1909435")</f>
        <v>0</v>
      </c>
      <c r="B498" t="s">
        <v>34</v>
      </c>
      <c r="C498" t="s">
        <v>42</v>
      </c>
      <c r="D498" t="s">
        <v>294</v>
      </c>
      <c r="E498" t="s">
        <v>991</v>
      </c>
      <c r="F498">
        <v>2093</v>
      </c>
      <c r="G498" t="s">
        <v>1221</v>
      </c>
      <c r="I498" t="s">
        <v>1299</v>
      </c>
      <c r="J498">
        <v>1</v>
      </c>
      <c r="K498">
        <v>0</v>
      </c>
      <c r="L498">
        <v>1</v>
      </c>
      <c r="M498" t="s">
        <v>1301</v>
      </c>
      <c r="N498">
        <v>13848</v>
      </c>
      <c r="O498">
        <v>11429</v>
      </c>
      <c r="P498" t="s">
        <v>1308</v>
      </c>
      <c r="Q498" t="s">
        <v>1319</v>
      </c>
      <c r="S498" t="s">
        <v>1336</v>
      </c>
      <c r="W498" t="s">
        <v>1366</v>
      </c>
      <c r="AA498">
        <v>0</v>
      </c>
      <c r="AB498">
        <v>0</v>
      </c>
      <c r="AD498">
        <v>0</v>
      </c>
      <c r="AE498">
        <v>0</v>
      </c>
      <c r="AF498">
        <v>0</v>
      </c>
      <c r="AG498">
        <v>0</v>
      </c>
    </row>
    <row r="499" spans="1:33">
      <c r="A499" s="1">
        <f>HYPERLINK("https://lsnyc.legalserver.org/matter/dynamic-profile/view/1910400","19-1910400")</f>
        <v>0</v>
      </c>
      <c r="B499" t="s">
        <v>34</v>
      </c>
      <c r="C499" t="s">
        <v>42</v>
      </c>
      <c r="D499" t="s">
        <v>463</v>
      </c>
      <c r="E499" t="s">
        <v>992</v>
      </c>
      <c r="F499">
        <v>2093</v>
      </c>
      <c r="G499" t="s">
        <v>1203</v>
      </c>
      <c r="I499" t="s">
        <v>1299</v>
      </c>
      <c r="J499">
        <v>1</v>
      </c>
      <c r="K499">
        <v>0</v>
      </c>
      <c r="L499">
        <v>2</v>
      </c>
      <c r="N499">
        <v>5200</v>
      </c>
      <c r="O499">
        <v>11435</v>
      </c>
      <c r="P499" t="s">
        <v>1308</v>
      </c>
      <c r="Q499" t="s">
        <v>1315</v>
      </c>
      <c r="S499" t="s">
        <v>1336</v>
      </c>
      <c r="W499" t="s">
        <v>1366</v>
      </c>
      <c r="AA499">
        <v>0</v>
      </c>
      <c r="AB499">
        <v>0</v>
      </c>
      <c r="AD499">
        <v>0</v>
      </c>
      <c r="AE499">
        <v>0</v>
      </c>
      <c r="AF499">
        <v>0</v>
      </c>
      <c r="AG499">
        <v>0</v>
      </c>
    </row>
    <row r="500" spans="1:33">
      <c r="A500" s="1">
        <f>HYPERLINK("https://lsnyc.legalserver.org/matter/dynamic-profile/view/1912968","19-1912968")</f>
        <v>0</v>
      </c>
      <c r="B500" t="s">
        <v>34</v>
      </c>
      <c r="C500" t="s">
        <v>42</v>
      </c>
      <c r="D500" t="s">
        <v>464</v>
      </c>
      <c r="E500" t="s">
        <v>993</v>
      </c>
      <c r="F500">
        <v>2093</v>
      </c>
      <c r="G500" t="s">
        <v>1199</v>
      </c>
      <c r="I500" t="s">
        <v>1299</v>
      </c>
      <c r="J500">
        <v>4</v>
      </c>
      <c r="K500">
        <v>0</v>
      </c>
      <c r="L500">
        <v>0</v>
      </c>
      <c r="M500" t="s">
        <v>1302</v>
      </c>
      <c r="N500">
        <v>91364</v>
      </c>
      <c r="O500">
        <v>11417</v>
      </c>
      <c r="P500" t="s">
        <v>1308</v>
      </c>
      <c r="Q500" t="s">
        <v>1317</v>
      </c>
      <c r="S500" t="s">
        <v>1336</v>
      </c>
      <c r="W500" t="s">
        <v>1366</v>
      </c>
      <c r="AA500">
        <v>0</v>
      </c>
      <c r="AB500">
        <v>0</v>
      </c>
      <c r="AD500">
        <v>0</v>
      </c>
      <c r="AE500">
        <v>0</v>
      </c>
      <c r="AF500">
        <v>0</v>
      </c>
      <c r="AG500">
        <v>0</v>
      </c>
    </row>
    <row r="501" spans="1:33">
      <c r="A501" s="1">
        <f>HYPERLINK("https://lsnyc.legalserver.org/matter/dynamic-profile/view/1913026","19-1913026")</f>
        <v>0</v>
      </c>
      <c r="B501" t="s">
        <v>34</v>
      </c>
      <c r="C501" t="s">
        <v>64</v>
      </c>
      <c r="D501" t="s">
        <v>465</v>
      </c>
      <c r="E501" t="s">
        <v>994</v>
      </c>
      <c r="F501">
        <v>2093</v>
      </c>
      <c r="I501" t="s">
        <v>1299</v>
      </c>
      <c r="J501">
        <v>1</v>
      </c>
      <c r="K501">
        <v>0</v>
      </c>
      <c r="L501">
        <v>0</v>
      </c>
      <c r="M501" t="s">
        <v>1301</v>
      </c>
      <c r="N501">
        <v>22140</v>
      </c>
      <c r="O501">
        <v>11433</v>
      </c>
      <c r="P501" t="s">
        <v>1308</v>
      </c>
      <c r="Q501" t="s">
        <v>1319</v>
      </c>
      <c r="S501" t="s">
        <v>1336</v>
      </c>
      <c r="W501" t="s">
        <v>1366</v>
      </c>
      <c r="AA501">
        <v>0</v>
      </c>
      <c r="AB501">
        <v>0</v>
      </c>
      <c r="AD501">
        <v>0</v>
      </c>
      <c r="AE501">
        <v>0</v>
      </c>
      <c r="AF501">
        <v>0</v>
      </c>
      <c r="AG501">
        <v>0</v>
      </c>
    </row>
    <row r="502" spans="1:33">
      <c r="A502" s="1">
        <f>HYPERLINK("https://lsnyc.legalserver.org/matter/dynamic-profile/view/1890856","19-1890856")</f>
        <v>0</v>
      </c>
      <c r="B502" t="s">
        <v>36</v>
      </c>
      <c r="C502" t="s">
        <v>59</v>
      </c>
      <c r="D502" t="s">
        <v>396</v>
      </c>
      <c r="E502" t="s">
        <v>995</v>
      </c>
      <c r="F502">
        <v>2094</v>
      </c>
      <c r="G502" t="s">
        <v>1182</v>
      </c>
      <c r="I502" t="s">
        <v>1299</v>
      </c>
      <c r="J502">
        <v>3</v>
      </c>
      <c r="K502">
        <v>1</v>
      </c>
      <c r="L502">
        <v>0</v>
      </c>
      <c r="M502" t="s">
        <v>1301</v>
      </c>
      <c r="N502">
        <v>93368</v>
      </c>
      <c r="O502">
        <v>10466</v>
      </c>
      <c r="P502" t="s">
        <v>1310</v>
      </c>
      <c r="Q502" t="s">
        <v>1314</v>
      </c>
      <c r="S502" t="s">
        <v>1336</v>
      </c>
      <c r="T502" t="s">
        <v>1340</v>
      </c>
      <c r="U502" t="s">
        <v>1352</v>
      </c>
      <c r="W502" t="s">
        <v>1360</v>
      </c>
      <c r="AA502">
        <v>2353</v>
      </c>
      <c r="AB502">
        <v>0</v>
      </c>
      <c r="AD502">
        <v>0</v>
      </c>
      <c r="AE502">
        <v>0</v>
      </c>
      <c r="AF502">
        <v>0</v>
      </c>
      <c r="AG502">
        <v>0</v>
      </c>
    </row>
    <row r="503" spans="1:33">
      <c r="A503" s="1">
        <f>HYPERLINK("https://lsnyc.legalserver.org/matter/dynamic-profile/view/1872606","18-1872606")</f>
        <v>0</v>
      </c>
      <c r="B503" t="s">
        <v>35</v>
      </c>
      <c r="C503" t="s">
        <v>67</v>
      </c>
      <c r="D503" t="s">
        <v>466</v>
      </c>
      <c r="E503" t="s">
        <v>606</v>
      </c>
      <c r="F503">
        <v>2091</v>
      </c>
      <c r="G503" t="s">
        <v>1204</v>
      </c>
      <c r="I503" t="s">
        <v>1299</v>
      </c>
      <c r="J503">
        <v>1</v>
      </c>
      <c r="K503">
        <v>0</v>
      </c>
      <c r="L503">
        <v>0</v>
      </c>
      <c r="N503">
        <v>47592</v>
      </c>
      <c r="O503">
        <v>11207</v>
      </c>
      <c r="P503" t="s">
        <v>1309</v>
      </c>
      <c r="Q503" t="s">
        <v>1314</v>
      </c>
      <c r="S503" t="s">
        <v>1337</v>
      </c>
      <c r="W503" t="s">
        <v>1371</v>
      </c>
      <c r="AA503">
        <v>0</v>
      </c>
      <c r="AB503">
        <v>0</v>
      </c>
      <c r="AD503">
        <v>0</v>
      </c>
      <c r="AE503">
        <v>0</v>
      </c>
      <c r="AF503">
        <v>0</v>
      </c>
      <c r="AG503">
        <v>0</v>
      </c>
    </row>
    <row r="504" spans="1:33">
      <c r="A504" s="1">
        <f>HYPERLINK("https://lsnyc.legalserver.org/matter/dynamic-profile/view/1901739","19-1901739")</f>
        <v>0</v>
      </c>
      <c r="B504" t="s">
        <v>36</v>
      </c>
      <c r="C504" t="s">
        <v>52</v>
      </c>
      <c r="D504" t="s">
        <v>467</v>
      </c>
      <c r="E504" t="s">
        <v>996</v>
      </c>
      <c r="F504">
        <v>2094</v>
      </c>
      <c r="G504" t="s">
        <v>1191</v>
      </c>
      <c r="I504" t="s">
        <v>1299</v>
      </c>
      <c r="J504">
        <v>2</v>
      </c>
      <c r="K504">
        <v>0</v>
      </c>
      <c r="L504">
        <v>1</v>
      </c>
      <c r="M504" t="s">
        <v>1301</v>
      </c>
      <c r="N504">
        <v>33732</v>
      </c>
      <c r="O504">
        <v>10466</v>
      </c>
      <c r="P504" t="s">
        <v>1310</v>
      </c>
      <c r="Q504" t="s">
        <v>1315</v>
      </c>
      <c r="R504" t="s">
        <v>1319</v>
      </c>
      <c r="S504" t="s">
        <v>1332</v>
      </c>
      <c r="T504" t="s">
        <v>1336</v>
      </c>
      <c r="W504" t="s">
        <v>1361</v>
      </c>
      <c r="Y504" t="s">
        <v>1366</v>
      </c>
      <c r="AA504">
        <v>0</v>
      </c>
      <c r="AB504">
        <v>0</v>
      </c>
      <c r="AD504">
        <v>0</v>
      </c>
      <c r="AE504">
        <v>0</v>
      </c>
      <c r="AF504">
        <v>0</v>
      </c>
      <c r="AG504">
        <v>0</v>
      </c>
    </row>
    <row r="505" spans="1:33">
      <c r="A505" s="1">
        <f>HYPERLINK("https://lsnyc.legalserver.org/matter/dynamic-profile/view/1913449","19-1913449")</f>
        <v>0</v>
      </c>
      <c r="B505" t="s">
        <v>34</v>
      </c>
      <c r="C505" t="s">
        <v>39</v>
      </c>
      <c r="D505" t="s">
        <v>468</v>
      </c>
      <c r="E505" t="s">
        <v>997</v>
      </c>
      <c r="F505">
        <v>2093</v>
      </c>
      <c r="I505" t="s">
        <v>1299</v>
      </c>
      <c r="J505">
        <v>4</v>
      </c>
      <c r="K505">
        <v>0</v>
      </c>
      <c r="L505">
        <v>0</v>
      </c>
      <c r="M505" t="s">
        <v>1301</v>
      </c>
      <c r="N505">
        <v>72366</v>
      </c>
      <c r="O505">
        <v>11433</v>
      </c>
      <c r="P505" t="s">
        <v>1308</v>
      </c>
      <c r="S505" t="s">
        <v>1336</v>
      </c>
      <c r="W505" t="s">
        <v>1366</v>
      </c>
      <c r="AA505">
        <v>0</v>
      </c>
      <c r="AB505">
        <v>0</v>
      </c>
      <c r="AD505">
        <v>0</v>
      </c>
      <c r="AE505">
        <v>0</v>
      </c>
      <c r="AF505">
        <v>0</v>
      </c>
      <c r="AG505">
        <v>0</v>
      </c>
    </row>
    <row r="506" spans="1:33">
      <c r="A506" s="1">
        <f>HYPERLINK("https://lsnyc.legalserver.org/matter/dynamic-profile/view/1912421","19-1912421")</f>
        <v>0</v>
      </c>
      <c r="B506" t="s">
        <v>35</v>
      </c>
      <c r="C506" t="s">
        <v>61</v>
      </c>
      <c r="D506" t="s">
        <v>469</v>
      </c>
      <c r="E506" t="s">
        <v>998</v>
      </c>
      <c r="F506">
        <v>2091</v>
      </c>
      <c r="I506" t="s">
        <v>1299</v>
      </c>
      <c r="J506">
        <v>3</v>
      </c>
      <c r="K506">
        <v>0</v>
      </c>
      <c r="L506">
        <v>0</v>
      </c>
      <c r="M506" t="s">
        <v>1302</v>
      </c>
      <c r="N506">
        <v>23880</v>
      </c>
      <c r="O506">
        <v>7106</v>
      </c>
      <c r="P506" t="s">
        <v>1313</v>
      </c>
      <c r="Q506" t="s">
        <v>1322</v>
      </c>
      <c r="S506" t="s">
        <v>1337</v>
      </c>
      <c r="AA506">
        <v>0</v>
      </c>
      <c r="AB506">
        <v>0</v>
      </c>
      <c r="AD506">
        <v>0</v>
      </c>
      <c r="AE506">
        <v>0</v>
      </c>
      <c r="AF506">
        <v>0</v>
      </c>
      <c r="AG506">
        <v>0</v>
      </c>
    </row>
    <row r="507" spans="1:33">
      <c r="A507" s="1">
        <f>HYPERLINK("https://lsnyc.legalserver.org/matter/dynamic-profile/view/1896114","19-1896114")</f>
        <v>0</v>
      </c>
      <c r="B507" t="s">
        <v>35</v>
      </c>
      <c r="C507" t="s">
        <v>71</v>
      </c>
      <c r="D507" t="s">
        <v>470</v>
      </c>
      <c r="E507" t="s">
        <v>999</v>
      </c>
      <c r="F507">
        <v>2091</v>
      </c>
      <c r="I507" t="s">
        <v>1299</v>
      </c>
      <c r="J507">
        <v>1</v>
      </c>
      <c r="K507">
        <v>0</v>
      </c>
      <c r="L507">
        <v>0</v>
      </c>
      <c r="M507" t="s">
        <v>1304</v>
      </c>
      <c r="N507">
        <v>19212</v>
      </c>
      <c r="O507">
        <v>11211</v>
      </c>
      <c r="P507" t="s">
        <v>1309</v>
      </c>
      <c r="Q507" t="s">
        <v>1329</v>
      </c>
      <c r="R507" t="s">
        <v>1322</v>
      </c>
      <c r="S507" t="s">
        <v>1337</v>
      </c>
      <c r="W507" t="s">
        <v>1366</v>
      </c>
      <c r="AA507">
        <v>0</v>
      </c>
      <c r="AB507">
        <v>0</v>
      </c>
      <c r="AD507">
        <v>0</v>
      </c>
      <c r="AE507">
        <v>0</v>
      </c>
      <c r="AF507">
        <v>0</v>
      </c>
      <c r="AG507">
        <v>0</v>
      </c>
    </row>
    <row r="508" spans="1:33">
      <c r="A508" s="1">
        <f>HYPERLINK("https://lsnyc.legalserver.org/matter/dynamic-profile/view/1911072","19-1911072")</f>
        <v>0</v>
      </c>
      <c r="B508" t="s">
        <v>35</v>
      </c>
      <c r="C508" t="s">
        <v>55</v>
      </c>
      <c r="D508" t="s">
        <v>471</v>
      </c>
      <c r="E508" t="s">
        <v>659</v>
      </c>
      <c r="F508">
        <v>2091</v>
      </c>
      <c r="I508" t="s">
        <v>1299</v>
      </c>
      <c r="J508">
        <v>2</v>
      </c>
      <c r="K508">
        <v>3</v>
      </c>
      <c r="L508">
        <v>1</v>
      </c>
      <c r="M508" t="s">
        <v>1304</v>
      </c>
      <c r="N508">
        <v>12528</v>
      </c>
      <c r="O508">
        <v>11215</v>
      </c>
      <c r="P508" t="s">
        <v>1309</v>
      </c>
      <c r="Q508" t="s">
        <v>1316</v>
      </c>
      <c r="R508" t="s">
        <v>1318</v>
      </c>
      <c r="S508" t="s">
        <v>1332</v>
      </c>
      <c r="W508" t="s">
        <v>1361</v>
      </c>
      <c r="Y508" t="s">
        <v>1366</v>
      </c>
      <c r="AA508">
        <v>0</v>
      </c>
      <c r="AB508">
        <v>0</v>
      </c>
      <c r="AD508">
        <v>0</v>
      </c>
      <c r="AE508">
        <v>0</v>
      </c>
      <c r="AF508">
        <v>0</v>
      </c>
      <c r="AG508">
        <v>0</v>
      </c>
    </row>
    <row r="509" spans="1:33">
      <c r="A509" s="1">
        <f>HYPERLINK("https://lsnyc.legalserver.org/matter/dynamic-profile/view/1889844","19-1889844")</f>
        <v>0</v>
      </c>
      <c r="B509" t="s">
        <v>33</v>
      </c>
      <c r="C509" t="s">
        <v>56</v>
      </c>
      <c r="D509" t="s">
        <v>472</v>
      </c>
      <c r="E509" t="s">
        <v>1000</v>
      </c>
      <c r="F509">
        <v>2090</v>
      </c>
      <c r="G509" t="s">
        <v>1210</v>
      </c>
      <c r="I509" t="s">
        <v>1299</v>
      </c>
      <c r="J509">
        <v>2</v>
      </c>
      <c r="K509">
        <v>1</v>
      </c>
      <c r="L509">
        <v>0</v>
      </c>
      <c r="N509">
        <v>72000</v>
      </c>
      <c r="O509">
        <v>10310</v>
      </c>
      <c r="P509" t="s">
        <v>1307</v>
      </c>
      <c r="Q509" t="s">
        <v>1325</v>
      </c>
      <c r="R509" t="s">
        <v>1317</v>
      </c>
      <c r="S509" t="s">
        <v>1336</v>
      </c>
      <c r="W509" t="s">
        <v>1366</v>
      </c>
      <c r="AA509">
        <v>0</v>
      </c>
      <c r="AB509">
        <v>0</v>
      </c>
      <c r="AD509">
        <v>0</v>
      </c>
      <c r="AE509">
        <v>0</v>
      </c>
      <c r="AF509">
        <v>0</v>
      </c>
      <c r="AG509">
        <v>0</v>
      </c>
    </row>
    <row r="510" spans="1:33">
      <c r="A510" s="1">
        <f>HYPERLINK("https://lsnyc.legalserver.org/matter/dynamic-profile/view/1904866","19-1904866")</f>
        <v>0</v>
      </c>
      <c r="B510" t="s">
        <v>34</v>
      </c>
      <c r="C510" t="s">
        <v>39</v>
      </c>
      <c r="D510" t="s">
        <v>473</v>
      </c>
      <c r="E510" t="s">
        <v>1001</v>
      </c>
      <c r="F510">
        <v>2093</v>
      </c>
      <c r="G510" t="s">
        <v>1199</v>
      </c>
      <c r="I510" t="s">
        <v>1299</v>
      </c>
      <c r="J510">
        <v>1</v>
      </c>
      <c r="K510">
        <v>0</v>
      </c>
      <c r="L510">
        <v>1</v>
      </c>
      <c r="M510" t="s">
        <v>1301</v>
      </c>
      <c r="N510">
        <v>2470</v>
      </c>
      <c r="O510">
        <v>11416</v>
      </c>
      <c r="P510" t="s">
        <v>1308</v>
      </c>
      <c r="Q510" t="s">
        <v>1315</v>
      </c>
      <c r="S510" t="s">
        <v>1336</v>
      </c>
      <c r="W510" t="s">
        <v>1366</v>
      </c>
      <c r="AA510">
        <v>0</v>
      </c>
      <c r="AB510">
        <v>0</v>
      </c>
      <c r="AD510">
        <v>0</v>
      </c>
      <c r="AE510">
        <v>0</v>
      </c>
      <c r="AF510">
        <v>0</v>
      </c>
      <c r="AG510">
        <v>0</v>
      </c>
    </row>
    <row r="511" spans="1:33">
      <c r="A511" s="1">
        <f>HYPERLINK("https://lsnyc.legalserver.org/matter/dynamic-profile/view/1887421","19-1887421")</f>
        <v>0</v>
      </c>
      <c r="B511" t="s">
        <v>33</v>
      </c>
      <c r="C511" t="s">
        <v>63</v>
      </c>
      <c r="D511" t="s">
        <v>169</v>
      </c>
      <c r="E511" t="s">
        <v>1002</v>
      </c>
      <c r="F511">
        <v>2090</v>
      </c>
      <c r="G511" t="s">
        <v>1200</v>
      </c>
      <c r="I511" t="s">
        <v>1299</v>
      </c>
      <c r="J511">
        <v>3</v>
      </c>
      <c r="K511">
        <v>1</v>
      </c>
      <c r="L511">
        <v>0</v>
      </c>
      <c r="N511">
        <v>102800</v>
      </c>
      <c r="O511">
        <v>10301</v>
      </c>
      <c r="P511" t="s">
        <v>1307</v>
      </c>
      <c r="Q511" t="s">
        <v>1326</v>
      </c>
      <c r="R511" t="s">
        <v>1320</v>
      </c>
      <c r="S511" t="s">
        <v>1333</v>
      </c>
      <c r="T511" t="s">
        <v>1332</v>
      </c>
      <c r="W511" t="s">
        <v>1361</v>
      </c>
      <c r="Y511" t="s">
        <v>1366</v>
      </c>
      <c r="AA511">
        <v>0</v>
      </c>
      <c r="AB511">
        <v>0</v>
      </c>
      <c r="AD511">
        <v>0</v>
      </c>
      <c r="AE511">
        <v>0</v>
      </c>
      <c r="AF511">
        <v>0</v>
      </c>
      <c r="AG511">
        <v>0</v>
      </c>
    </row>
    <row r="512" spans="1:33">
      <c r="A512" s="1">
        <f>HYPERLINK("https://lsnyc.legalserver.org/matter/dynamic-profile/view/1894989","19-1894989")</f>
        <v>0</v>
      </c>
      <c r="B512" t="s">
        <v>33</v>
      </c>
      <c r="C512" t="s">
        <v>38</v>
      </c>
      <c r="D512" t="s">
        <v>474</v>
      </c>
      <c r="E512" t="s">
        <v>1003</v>
      </c>
      <c r="F512">
        <v>2090</v>
      </c>
      <c r="G512" t="s">
        <v>1197</v>
      </c>
      <c r="H512" t="s">
        <v>1199</v>
      </c>
      <c r="I512" t="s">
        <v>1299</v>
      </c>
      <c r="J512">
        <v>2</v>
      </c>
      <c r="K512">
        <v>0</v>
      </c>
      <c r="L512">
        <v>0</v>
      </c>
      <c r="N512">
        <v>91200</v>
      </c>
      <c r="O512">
        <v>10312</v>
      </c>
      <c r="P512" t="s">
        <v>1307</v>
      </c>
      <c r="Q512" t="s">
        <v>1325</v>
      </c>
      <c r="R512" t="s">
        <v>1316</v>
      </c>
      <c r="S512" t="s">
        <v>1337</v>
      </c>
      <c r="W512" t="s">
        <v>1366</v>
      </c>
      <c r="AA512">
        <v>0</v>
      </c>
      <c r="AB512">
        <v>0</v>
      </c>
      <c r="AD512">
        <v>0</v>
      </c>
      <c r="AE512">
        <v>0</v>
      </c>
      <c r="AF512">
        <v>0</v>
      </c>
      <c r="AG512">
        <v>0</v>
      </c>
    </row>
    <row r="513" spans="1:33">
      <c r="A513" s="1">
        <f>HYPERLINK("https://lsnyc.legalserver.org/matter/dynamic-profile/view/1915603","19-1915603")</f>
        <v>0</v>
      </c>
      <c r="B513" t="s">
        <v>34</v>
      </c>
      <c r="C513" t="s">
        <v>39</v>
      </c>
      <c r="D513" t="s">
        <v>475</v>
      </c>
      <c r="E513" t="s">
        <v>1004</v>
      </c>
      <c r="F513">
        <v>2093</v>
      </c>
      <c r="I513" t="s">
        <v>1299</v>
      </c>
      <c r="J513">
        <v>2</v>
      </c>
      <c r="K513">
        <v>1</v>
      </c>
      <c r="L513">
        <v>0</v>
      </c>
      <c r="M513" t="s">
        <v>1301</v>
      </c>
      <c r="N513">
        <v>109200</v>
      </c>
      <c r="O513">
        <v>11420</v>
      </c>
      <c r="P513" t="s">
        <v>1308</v>
      </c>
      <c r="Q513" t="s">
        <v>1317</v>
      </c>
      <c r="S513" t="s">
        <v>1336</v>
      </c>
      <c r="W513" t="s">
        <v>1366</v>
      </c>
      <c r="AA513">
        <v>0</v>
      </c>
      <c r="AB513">
        <v>0</v>
      </c>
      <c r="AD513">
        <v>0</v>
      </c>
      <c r="AE513">
        <v>0</v>
      </c>
      <c r="AF513">
        <v>0</v>
      </c>
      <c r="AG513">
        <v>0</v>
      </c>
    </row>
    <row r="514" spans="1:33">
      <c r="A514" s="1">
        <f>HYPERLINK("https://lsnyc.legalserver.org/matter/dynamic-profile/view/6001753","Q10E-66001753")</f>
        <v>0</v>
      </c>
      <c r="B514" t="s">
        <v>34</v>
      </c>
      <c r="C514" t="s">
        <v>49</v>
      </c>
      <c r="D514" t="s">
        <v>476</v>
      </c>
      <c r="E514" t="s">
        <v>1005</v>
      </c>
      <c r="F514">
        <v>2093</v>
      </c>
      <c r="G514" t="s">
        <v>1182</v>
      </c>
      <c r="I514" t="s">
        <v>1299</v>
      </c>
      <c r="J514">
        <v>1</v>
      </c>
      <c r="K514">
        <v>1</v>
      </c>
      <c r="L514">
        <v>1</v>
      </c>
      <c r="M514" t="s">
        <v>1301</v>
      </c>
      <c r="N514">
        <v>13200</v>
      </c>
      <c r="O514">
        <v>11434</v>
      </c>
      <c r="P514" t="s">
        <v>1308</v>
      </c>
      <c r="Q514" t="s">
        <v>1315</v>
      </c>
      <c r="S514" t="s">
        <v>1338</v>
      </c>
      <c r="W514" t="s">
        <v>1365</v>
      </c>
      <c r="Y514" t="s">
        <v>1392</v>
      </c>
      <c r="AA514">
        <v>0</v>
      </c>
      <c r="AB514">
        <v>0</v>
      </c>
      <c r="AC514">
        <v>10500</v>
      </c>
      <c r="AD514">
        <v>0</v>
      </c>
      <c r="AE514">
        <v>0</v>
      </c>
      <c r="AF514">
        <v>0</v>
      </c>
      <c r="AG514">
        <v>0</v>
      </c>
    </row>
    <row r="515" spans="1:33">
      <c r="A515" s="1">
        <f>HYPERLINK("https://lsnyc.legalserver.org/matter/dynamic-profile/view/0730875","13-0730875")</f>
        <v>0</v>
      </c>
      <c r="B515" t="s">
        <v>35</v>
      </c>
      <c r="C515" t="s">
        <v>55</v>
      </c>
      <c r="D515" t="s">
        <v>389</v>
      </c>
      <c r="E515" t="s">
        <v>1006</v>
      </c>
      <c r="F515">
        <v>2091</v>
      </c>
      <c r="G515" t="s">
        <v>1198</v>
      </c>
      <c r="H515" t="s">
        <v>1282</v>
      </c>
      <c r="I515" t="s">
        <v>1299</v>
      </c>
      <c r="J515">
        <v>2</v>
      </c>
      <c r="K515">
        <v>0</v>
      </c>
      <c r="L515">
        <v>1</v>
      </c>
      <c r="M515" t="s">
        <v>1304</v>
      </c>
      <c r="N515">
        <v>56860</v>
      </c>
      <c r="O515">
        <v>11220</v>
      </c>
      <c r="P515" t="s">
        <v>1309</v>
      </c>
      <c r="Q515" t="s">
        <v>1317</v>
      </c>
      <c r="R515" t="s">
        <v>1315</v>
      </c>
      <c r="S515" t="s">
        <v>1348</v>
      </c>
      <c r="T515" t="s">
        <v>1340</v>
      </c>
      <c r="U515" t="s">
        <v>1354</v>
      </c>
      <c r="W515" t="s">
        <v>1366</v>
      </c>
      <c r="Y515" t="s">
        <v>1365</v>
      </c>
      <c r="AA515">
        <v>0</v>
      </c>
      <c r="AB515">
        <v>0</v>
      </c>
      <c r="AD515">
        <v>0</v>
      </c>
      <c r="AE515">
        <v>0</v>
      </c>
      <c r="AF515">
        <v>0</v>
      </c>
      <c r="AG515">
        <v>0</v>
      </c>
    </row>
    <row r="516" spans="1:33">
      <c r="A516" s="1">
        <f>HYPERLINK("https://lsnyc.legalserver.org/matter/dynamic-profile/view/0778431","15-0778431")</f>
        <v>0</v>
      </c>
      <c r="B516" t="s">
        <v>35</v>
      </c>
      <c r="C516" t="s">
        <v>55</v>
      </c>
      <c r="D516" t="s">
        <v>477</v>
      </c>
      <c r="E516" t="s">
        <v>1007</v>
      </c>
      <c r="F516">
        <v>2091</v>
      </c>
      <c r="I516" t="s">
        <v>1299</v>
      </c>
      <c r="J516">
        <v>1</v>
      </c>
      <c r="K516">
        <v>0</v>
      </c>
      <c r="L516">
        <v>1</v>
      </c>
      <c r="N516">
        <v>700</v>
      </c>
      <c r="O516">
        <v>11216</v>
      </c>
      <c r="P516" t="s">
        <v>1309</v>
      </c>
      <c r="Q516" t="s">
        <v>1322</v>
      </c>
      <c r="S516" t="s">
        <v>1338</v>
      </c>
      <c r="W516" t="s">
        <v>1382</v>
      </c>
      <c r="AA516">
        <v>0</v>
      </c>
      <c r="AB516">
        <v>0</v>
      </c>
      <c r="AD516">
        <v>0</v>
      </c>
      <c r="AE516">
        <v>0</v>
      </c>
      <c r="AF516">
        <v>0</v>
      </c>
      <c r="AG516">
        <v>0</v>
      </c>
    </row>
    <row r="517" spans="1:33">
      <c r="A517" s="1">
        <f>HYPERLINK("https://lsnyc.legalserver.org/matter/dynamic-profile/view/0782452","15-0782452")</f>
        <v>0</v>
      </c>
      <c r="B517" t="s">
        <v>36</v>
      </c>
      <c r="C517" t="s">
        <v>58</v>
      </c>
      <c r="D517" t="s">
        <v>478</v>
      </c>
      <c r="E517" t="s">
        <v>686</v>
      </c>
      <c r="F517">
        <v>2094</v>
      </c>
      <c r="G517" t="s">
        <v>1199</v>
      </c>
      <c r="I517" t="s">
        <v>1299</v>
      </c>
      <c r="J517">
        <v>2</v>
      </c>
      <c r="K517">
        <v>0</v>
      </c>
      <c r="L517">
        <v>0</v>
      </c>
      <c r="M517" t="s">
        <v>1301</v>
      </c>
      <c r="N517">
        <v>86691.53999999999</v>
      </c>
      <c r="O517">
        <v>10472</v>
      </c>
      <c r="P517" t="s">
        <v>1310</v>
      </c>
      <c r="Q517" t="s">
        <v>1320</v>
      </c>
      <c r="S517" t="s">
        <v>1333</v>
      </c>
      <c r="T517" t="s">
        <v>1340</v>
      </c>
      <c r="U517" t="s">
        <v>1354</v>
      </c>
      <c r="W517" t="s">
        <v>1366</v>
      </c>
      <c r="Y517" t="s">
        <v>1365</v>
      </c>
      <c r="AA517">
        <v>2125.17</v>
      </c>
      <c r="AB517">
        <v>0</v>
      </c>
      <c r="AD517">
        <v>0</v>
      </c>
      <c r="AE517">
        <v>0</v>
      </c>
      <c r="AF517">
        <v>0</v>
      </c>
      <c r="AG517">
        <v>0</v>
      </c>
    </row>
    <row r="518" spans="1:33">
      <c r="A518" s="1">
        <f>HYPERLINK("https://lsnyc.legalserver.org/matter/dynamic-profile/view/0787174","15-0787174")</f>
        <v>0</v>
      </c>
      <c r="B518" t="s">
        <v>35</v>
      </c>
      <c r="C518" t="s">
        <v>52</v>
      </c>
      <c r="D518" t="s">
        <v>252</v>
      </c>
      <c r="E518" t="s">
        <v>1008</v>
      </c>
      <c r="F518">
        <v>2091</v>
      </c>
      <c r="G518" t="s">
        <v>1231</v>
      </c>
      <c r="I518" t="s">
        <v>1299</v>
      </c>
      <c r="J518">
        <v>2</v>
      </c>
      <c r="K518">
        <v>0</v>
      </c>
      <c r="L518">
        <v>0</v>
      </c>
      <c r="M518" t="s">
        <v>1302</v>
      </c>
      <c r="N518">
        <v>69200</v>
      </c>
      <c r="O518">
        <v>11234</v>
      </c>
      <c r="P518" t="s">
        <v>1309</v>
      </c>
      <c r="Q518" t="s">
        <v>1315</v>
      </c>
      <c r="S518" t="s">
        <v>1338</v>
      </c>
      <c r="T518" t="s">
        <v>1336</v>
      </c>
      <c r="U518" t="s">
        <v>1354</v>
      </c>
      <c r="W518" t="s">
        <v>1361</v>
      </c>
      <c r="Y518" t="s">
        <v>1365</v>
      </c>
      <c r="AA518">
        <v>0</v>
      </c>
      <c r="AB518">
        <v>0</v>
      </c>
      <c r="AD518">
        <v>0</v>
      </c>
      <c r="AE518">
        <v>0</v>
      </c>
      <c r="AF518">
        <v>0</v>
      </c>
      <c r="AG518">
        <v>0</v>
      </c>
    </row>
    <row r="519" spans="1:33">
      <c r="A519" s="1">
        <f>HYPERLINK("https://lsnyc.legalserver.org/matter/dynamic-profile/view/0795597","16-0795597")</f>
        <v>0</v>
      </c>
      <c r="B519" t="s">
        <v>36</v>
      </c>
      <c r="C519" t="s">
        <v>58</v>
      </c>
      <c r="D519" t="s">
        <v>479</v>
      </c>
      <c r="E519" t="s">
        <v>1009</v>
      </c>
      <c r="F519">
        <v>2094</v>
      </c>
      <c r="G519" t="s">
        <v>1199</v>
      </c>
      <c r="I519" t="s">
        <v>1299</v>
      </c>
      <c r="J519">
        <v>1</v>
      </c>
      <c r="K519">
        <v>0</v>
      </c>
      <c r="L519">
        <v>0</v>
      </c>
      <c r="M519" t="s">
        <v>1304</v>
      </c>
      <c r="N519">
        <v>127936</v>
      </c>
      <c r="O519">
        <v>10457</v>
      </c>
      <c r="P519" t="s">
        <v>1310</v>
      </c>
      <c r="Q519" t="s">
        <v>1315</v>
      </c>
      <c r="R519" t="s">
        <v>1325</v>
      </c>
      <c r="S519" t="s">
        <v>1340</v>
      </c>
      <c r="T519" t="s">
        <v>1349</v>
      </c>
      <c r="U519" t="s">
        <v>1352</v>
      </c>
      <c r="W519" t="s">
        <v>1366</v>
      </c>
      <c r="Y519" t="s">
        <v>1360</v>
      </c>
      <c r="AA519">
        <v>3274.02</v>
      </c>
      <c r="AB519">
        <v>0</v>
      </c>
      <c r="AD519">
        <v>0</v>
      </c>
      <c r="AE519">
        <v>0</v>
      </c>
      <c r="AF519">
        <v>0</v>
      </c>
      <c r="AG519">
        <v>0</v>
      </c>
    </row>
    <row r="520" spans="1:33">
      <c r="A520" s="1">
        <f>HYPERLINK("https://lsnyc.legalserver.org/matter/dynamic-profile/view/0801061","16-0801061")</f>
        <v>0</v>
      </c>
      <c r="B520" t="s">
        <v>36</v>
      </c>
      <c r="C520" t="s">
        <v>59</v>
      </c>
      <c r="D520" t="s">
        <v>480</v>
      </c>
      <c r="E520" t="s">
        <v>1010</v>
      </c>
      <c r="F520">
        <v>2094</v>
      </c>
      <c r="G520" t="s">
        <v>1209</v>
      </c>
      <c r="I520" t="s">
        <v>1299</v>
      </c>
      <c r="J520">
        <v>1</v>
      </c>
      <c r="K520">
        <v>0</v>
      </c>
      <c r="L520">
        <v>1</v>
      </c>
      <c r="M520" t="s">
        <v>1304</v>
      </c>
      <c r="N520">
        <v>23124</v>
      </c>
      <c r="O520">
        <v>10455</v>
      </c>
      <c r="P520" t="s">
        <v>1310</v>
      </c>
      <c r="Q520" t="s">
        <v>1322</v>
      </c>
      <c r="S520" t="s">
        <v>1338</v>
      </c>
      <c r="T520" t="s">
        <v>1336</v>
      </c>
      <c r="W520" t="s">
        <v>1366</v>
      </c>
      <c r="AA520">
        <v>0</v>
      </c>
      <c r="AB520">
        <v>0</v>
      </c>
      <c r="AD520">
        <v>0</v>
      </c>
      <c r="AE520">
        <v>0</v>
      </c>
      <c r="AF520">
        <v>0</v>
      </c>
      <c r="AG520">
        <v>0</v>
      </c>
    </row>
    <row r="521" spans="1:33">
      <c r="A521" s="1">
        <f>HYPERLINK("https://lsnyc.legalserver.org/matter/dynamic-profile/view/0802173","16-0802173")</f>
        <v>0</v>
      </c>
      <c r="B521" t="s">
        <v>36</v>
      </c>
      <c r="C521" t="s">
        <v>58</v>
      </c>
      <c r="D521" t="s">
        <v>454</v>
      </c>
      <c r="E521" t="s">
        <v>903</v>
      </c>
      <c r="F521">
        <v>2094</v>
      </c>
      <c r="G521" t="s">
        <v>1200</v>
      </c>
      <c r="I521" t="s">
        <v>1299</v>
      </c>
      <c r="J521">
        <v>1</v>
      </c>
      <c r="K521">
        <v>0</v>
      </c>
      <c r="L521">
        <v>1</v>
      </c>
      <c r="M521" t="s">
        <v>1301</v>
      </c>
      <c r="N521">
        <v>24000</v>
      </c>
      <c r="O521">
        <v>10469</v>
      </c>
      <c r="P521" t="s">
        <v>1310</v>
      </c>
      <c r="Q521" t="s">
        <v>1319</v>
      </c>
      <c r="S521" t="s">
        <v>1332</v>
      </c>
      <c r="T521" t="s">
        <v>1349</v>
      </c>
      <c r="U521" t="s">
        <v>1352</v>
      </c>
      <c r="W521" t="s">
        <v>1361</v>
      </c>
      <c r="Y521" t="s">
        <v>1360</v>
      </c>
      <c r="AA521">
        <v>789.13</v>
      </c>
      <c r="AB521">
        <v>710.03</v>
      </c>
      <c r="AD521">
        <v>0</v>
      </c>
      <c r="AE521">
        <v>0</v>
      </c>
      <c r="AF521">
        <v>0</v>
      </c>
      <c r="AG521">
        <v>0</v>
      </c>
    </row>
    <row r="522" spans="1:33">
      <c r="A522" s="1">
        <f>HYPERLINK("https://lsnyc.legalserver.org/matter/dynamic-profile/view/0802265","16-0802265")</f>
        <v>0</v>
      </c>
      <c r="B522" t="s">
        <v>34</v>
      </c>
      <c r="C522" t="s">
        <v>57</v>
      </c>
      <c r="D522" t="s">
        <v>481</v>
      </c>
      <c r="E522" t="s">
        <v>1011</v>
      </c>
      <c r="F522">
        <v>2093</v>
      </c>
      <c r="G522" t="s">
        <v>1199</v>
      </c>
      <c r="I522" t="s">
        <v>1299</v>
      </c>
      <c r="J522">
        <v>1</v>
      </c>
      <c r="K522">
        <v>0</v>
      </c>
      <c r="L522">
        <v>0</v>
      </c>
      <c r="M522" t="s">
        <v>1302</v>
      </c>
      <c r="N522">
        <v>0</v>
      </c>
      <c r="O522">
        <v>11435</v>
      </c>
      <c r="P522" t="s">
        <v>1308</v>
      </c>
      <c r="Q522" t="s">
        <v>1328</v>
      </c>
      <c r="S522" t="s">
        <v>1332</v>
      </c>
      <c r="T522" t="s">
        <v>1337</v>
      </c>
      <c r="W522" t="s">
        <v>1362</v>
      </c>
      <c r="Y522" t="s">
        <v>1365</v>
      </c>
      <c r="AA522">
        <v>0</v>
      </c>
      <c r="AB522">
        <v>0</v>
      </c>
      <c r="AD522">
        <v>0</v>
      </c>
      <c r="AE522">
        <v>0</v>
      </c>
      <c r="AF522">
        <v>0</v>
      </c>
      <c r="AG522">
        <v>0</v>
      </c>
    </row>
    <row r="523" spans="1:33">
      <c r="A523" s="1">
        <f>HYPERLINK("https://lsnyc.legalserver.org/matter/dynamic-profile/view/0811335","16-0811335")</f>
        <v>0</v>
      </c>
      <c r="B523" t="s">
        <v>34</v>
      </c>
      <c r="C523" t="s">
        <v>68</v>
      </c>
      <c r="D523" t="s">
        <v>482</v>
      </c>
      <c r="E523" t="s">
        <v>1012</v>
      </c>
      <c r="F523">
        <v>2093</v>
      </c>
      <c r="G523" t="s">
        <v>1215</v>
      </c>
      <c r="H523" t="s">
        <v>1202</v>
      </c>
      <c r="I523" t="s">
        <v>1299</v>
      </c>
      <c r="J523">
        <v>3</v>
      </c>
      <c r="K523">
        <v>0</v>
      </c>
      <c r="L523">
        <v>0</v>
      </c>
      <c r="M523" t="s">
        <v>1301</v>
      </c>
      <c r="N523">
        <v>27600</v>
      </c>
      <c r="O523">
        <v>11419</v>
      </c>
      <c r="P523" t="s">
        <v>1308</v>
      </c>
      <c r="Q523" t="s">
        <v>1317</v>
      </c>
      <c r="S523" t="s">
        <v>1338</v>
      </c>
      <c r="W523" t="s">
        <v>1366</v>
      </c>
      <c r="AA523">
        <v>0</v>
      </c>
      <c r="AB523">
        <v>0</v>
      </c>
      <c r="AD523">
        <v>0</v>
      </c>
      <c r="AE523">
        <v>0</v>
      </c>
      <c r="AF523">
        <v>0</v>
      </c>
      <c r="AG523">
        <v>0</v>
      </c>
    </row>
    <row r="524" spans="1:33">
      <c r="A524" s="1">
        <f>HYPERLINK("https://lsnyc.legalserver.org/matter/dynamic-profile/view/0813185","16-0813185")</f>
        <v>0</v>
      </c>
      <c r="B524" t="s">
        <v>34</v>
      </c>
      <c r="C524" t="s">
        <v>64</v>
      </c>
      <c r="D524" t="s">
        <v>162</v>
      </c>
      <c r="E524" t="s">
        <v>689</v>
      </c>
      <c r="F524">
        <v>2093</v>
      </c>
      <c r="G524" t="s">
        <v>1185</v>
      </c>
      <c r="I524" t="s">
        <v>1299</v>
      </c>
      <c r="J524">
        <v>3</v>
      </c>
      <c r="K524">
        <v>0</v>
      </c>
      <c r="L524">
        <v>0</v>
      </c>
      <c r="M524" t="s">
        <v>1302</v>
      </c>
      <c r="N524">
        <v>26000</v>
      </c>
      <c r="O524">
        <v>11372</v>
      </c>
      <c r="P524" t="s">
        <v>1308</v>
      </c>
      <c r="Q524" t="s">
        <v>1315</v>
      </c>
      <c r="S524" t="s">
        <v>1338</v>
      </c>
      <c r="T524" t="s">
        <v>1337</v>
      </c>
      <c r="W524" t="s">
        <v>1361</v>
      </c>
      <c r="Y524" t="s">
        <v>1366</v>
      </c>
      <c r="AA524">
        <v>0</v>
      </c>
      <c r="AB524">
        <v>0</v>
      </c>
      <c r="AD524">
        <v>0</v>
      </c>
      <c r="AE524">
        <v>0</v>
      </c>
      <c r="AF524">
        <v>0</v>
      </c>
      <c r="AG524">
        <v>0</v>
      </c>
    </row>
    <row r="525" spans="1:33">
      <c r="A525" s="1">
        <f>HYPERLINK("https://lsnyc.legalserver.org/matter/dynamic-profile/view/0816541","16-0816541")</f>
        <v>0</v>
      </c>
      <c r="B525" t="s">
        <v>34</v>
      </c>
      <c r="C525" t="s">
        <v>64</v>
      </c>
      <c r="D525" t="s">
        <v>483</v>
      </c>
      <c r="E525" t="s">
        <v>1013</v>
      </c>
      <c r="F525">
        <v>2093</v>
      </c>
      <c r="G525" t="s">
        <v>1178</v>
      </c>
      <c r="I525" t="s">
        <v>1299</v>
      </c>
      <c r="J525">
        <v>1</v>
      </c>
      <c r="K525">
        <v>2</v>
      </c>
      <c r="L525">
        <v>0</v>
      </c>
      <c r="M525" t="s">
        <v>1302</v>
      </c>
      <c r="N525">
        <v>29400</v>
      </c>
      <c r="O525">
        <v>11691</v>
      </c>
      <c r="P525" t="s">
        <v>1308</v>
      </c>
      <c r="Q525" t="s">
        <v>1319</v>
      </c>
      <c r="S525" t="s">
        <v>1343</v>
      </c>
      <c r="T525" t="s">
        <v>1336</v>
      </c>
      <c r="W525" t="s">
        <v>1383</v>
      </c>
      <c r="Y525" t="s">
        <v>1366</v>
      </c>
      <c r="AA525">
        <v>0</v>
      </c>
      <c r="AB525">
        <v>0</v>
      </c>
      <c r="AD525">
        <v>0</v>
      </c>
      <c r="AE525">
        <v>0</v>
      </c>
      <c r="AF525">
        <v>0</v>
      </c>
      <c r="AG525">
        <v>0</v>
      </c>
    </row>
    <row r="526" spans="1:33">
      <c r="A526" s="1">
        <f>HYPERLINK("https://lsnyc.legalserver.org/matter/dynamic-profile/view/1833996","17-1833996")</f>
        <v>0</v>
      </c>
      <c r="B526" t="s">
        <v>36</v>
      </c>
      <c r="C526" t="s">
        <v>58</v>
      </c>
      <c r="D526" t="s">
        <v>484</v>
      </c>
      <c r="E526" t="s">
        <v>1014</v>
      </c>
      <c r="F526">
        <v>2094</v>
      </c>
      <c r="G526" t="s">
        <v>1199</v>
      </c>
      <c r="I526" t="s">
        <v>1299</v>
      </c>
      <c r="J526">
        <v>3</v>
      </c>
      <c r="K526">
        <v>3</v>
      </c>
      <c r="L526">
        <v>0</v>
      </c>
      <c r="M526" t="s">
        <v>1301</v>
      </c>
      <c r="N526">
        <v>130799.94</v>
      </c>
      <c r="O526">
        <v>10461</v>
      </c>
      <c r="P526" t="s">
        <v>1310</v>
      </c>
      <c r="Q526" t="s">
        <v>1315</v>
      </c>
      <c r="S526" t="s">
        <v>1332</v>
      </c>
      <c r="T526" t="s">
        <v>1333</v>
      </c>
      <c r="W526" t="s">
        <v>1361</v>
      </c>
      <c r="Y526" t="s">
        <v>1370</v>
      </c>
      <c r="AA526">
        <v>0</v>
      </c>
      <c r="AB526">
        <v>0</v>
      </c>
      <c r="AC526">
        <v>33817.46</v>
      </c>
      <c r="AD526">
        <v>0</v>
      </c>
      <c r="AE526">
        <v>0</v>
      </c>
      <c r="AF526">
        <v>0</v>
      </c>
      <c r="AG526">
        <v>0</v>
      </c>
    </row>
    <row r="527" spans="1:33">
      <c r="A527" s="1">
        <f>HYPERLINK("https://lsnyc.legalserver.org/matter/dynamic-profile/view/1837912","17-1837912")</f>
        <v>0</v>
      </c>
      <c r="B527" t="s">
        <v>34</v>
      </c>
      <c r="C527" t="s">
        <v>49</v>
      </c>
      <c r="D527" t="s">
        <v>485</v>
      </c>
      <c r="E527" t="s">
        <v>751</v>
      </c>
      <c r="F527">
        <v>2093</v>
      </c>
      <c r="G527" t="s">
        <v>1215</v>
      </c>
      <c r="I527" t="s">
        <v>1299</v>
      </c>
      <c r="J527">
        <v>3</v>
      </c>
      <c r="K527">
        <v>1</v>
      </c>
      <c r="L527">
        <v>0</v>
      </c>
      <c r="M527" t="s">
        <v>1302</v>
      </c>
      <c r="N527">
        <v>30000</v>
      </c>
      <c r="O527">
        <v>11418</v>
      </c>
      <c r="P527" t="s">
        <v>1308</v>
      </c>
      <c r="Q527" t="s">
        <v>1315</v>
      </c>
      <c r="S527" t="s">
        <v>1333</v>
      </c>
      <c r="T527" t="s">
        <v>1332</v>
      </c>
      <c r="U527" t="s">
        <v>1352</v>
      </c>
      <c r="W527" t="s">
        <v>1360</v>
      </c>
      <c r="Y527" t="s">
        <v>1361</v>
      </c>
      <c r="AA527">
        <v>3803.51</v>
      </c>
      <c r="AB527">
        <v>0</v>
      </c>
      <c r="AD527">
        <v>0</v>
      </c>
      <c r="AE527">
        <v>0</v>
      </c>
      <c r="AF527">
        <v>0</v>
      </c>
      <c r="AG527">
        <v>0</v>
      </c>
    </row>
    <row r="528" spans="1:33">
      <c r="A528" s="1">
        <f>HYPERLINK("https://lsnyc.legalserver.org/matter/dynamic-profile/view/1839777","17-1839777")</f>
        <v>0</v>
      </c>
      <c r="B528" t="s">
        <v>33</v>
      </c>
      <c r="C528" t="s">
        <v>56</v>
      </c>
      <c r="D528" t="s">
        <v>278</v>
      </c>
      <c r="E528" t="s">
        <v>1015</v>
      </c>
      <c r="F528">
        <v>2090</v>
      </c>
      <c r="G528" t="s">
        <v>1225</v>
      </c>
      <c r="H528" t="s">
        <v>1225</v>
      </c>
      <c r="I528" t="s">
        <v>1299</v>
      </c>
      <c r="J528">
        <v>3</v>
      </c>
      <c r="K528">
        <v>1</v>
      </c>
      <c r="L528">
        <v>0</v>
      </c>
      <c r="N528">
        <v>38264</v>
      </c>
      <c r="O528">
        <v>10301</v>
      </c>
      <c r="P528" t="s">
        <v>1307</v>
      </c>
      <c r="Q528" t="s">
        <v>1315</v>
      </c>
      <c r="R528" t="s">
        <v>1323</v>
      </c>
      <c r="S528" t="s">
        <v>1333</v>
      </c>
      <c r="T528" t="s">
        <v>1332</v>
      </c>
      <c r="U528" t="s">
        <v>1352</v>
      </c>
      <c r="W528" t="s">
        <v>1363</v>
      </c>
      <c r="Y528" t="s">
        <v>1361</v>
      </c>
      <c r="AA528">
        <v>2015.64</v>
      </c>
      <c r="AB528">
        <v>0</v>
      </c>
      <c r="AD528">
        <v>88834.21000000001</v>
      </c>
      <c r="AE528">
        <v>0</v>
      </c>
      <c r="AF528">
        <v>0</v>
      </c>
      <c r="AG528">
        <v>0</v>
      </c>
    </row>
    <row r="529" spans="1:33">
      <c r="A529" s="1">
        <f>HYPERLINK("https://lsnyc.legalserver.org/matter/dynamic-profile/view/1840834","17-1840834")</f>
        <v>0</v>
      </c>
      <c r="B529" t="s">
        <v>34</v>
      </c>
      <c r="C529" t="s">
        <v>39</v>
      </c>
      <c r="D529" t="s">
        <v>486</v>
      </c>
      <c r="E529" t="s">
        <v>1016</v>
      </c>
      <c r="F529">
        <v>2093</v>
      </c>
      <c r="G529" t="s">
        <v>1213</v>
      </c>
      <c r="I529" t="s">
        <v>1299</v>
      </c>
      <c r="J529">
        <v>4</v>
      </c>
      <c r="K529">
        <v>0</v>
      </c>
      <c r="L529">
        <v>2</v>
      </c>
      <c r="M529" t="s">
        <v>1301</v>
      </c>
      <c r="N529">
        <v>84620</v>
      </c>
      <c r="O529">
        <v>11385</v>
      </c>
      <c r="P529" t="s">
        <v>1308</v>
      </c>
      <c r="Q529" t="s">
        <v>1315</v>
      </c>
      <c r="S529" t="s">
        <v>1338</v>
      </c>
      <c r="AA529">
        <v>0</v>
      </c>
      <c r="AB529">
        <v>0</v>
      </c>
      <c r="AD529">
        <v>0</v>
      </c>
      <c r="AE529">
        <v>0</v>
      </c>
      <c r="AF529">
        <v>0</v>
      </c>
      <c r="AG529">
        <v>0</v>
      </c>
    </row>
    <row r="530" spans="1:33">
      <c r="A530" s="1">
        <f>HYPERLINK("https://lsnyc.legalserver.org/matter/dynamic-profile/view/1838437","17-1838437")</f>
        <v>0</v>
      </c>
      <c r="B530" t="s">
        <v>33</v>
      </c>
      <c r="C530" t="s">
        <v>63</v>
      </c>
      <c r="D530" t="s">
        <v>487</v>
      </c>
      <c r="E530" t="s">
        <v>1017</v>
      </c>
      <c r="F530">
        <v>2090</v>
      </c>
      <c r="G530" t="s">
        <v>1199</v>
      </c>
      <c r="I530" t="s">
        <v>1299</v>
      </c>
      <c r="J530">
        <v>2</v>
      </c>
      <c r="K530">
        <v>2</v>
      </c>
      <c r="L530">
        <v>0</v>
      </c>
      <c r="M530" t="s">
        <v>1302</v>
      </c>
      <c r="N530">
        <v>98500</v>
      </c>
      <c r="O530">
        <v>10304</v>
      </c>
      <c r="P530" t="s">
        <v>1307</v>
      </c>
      <c r="Q530" t="s">
        <v>1315</v>
      </c>
      <c r="R530" t="s">
        <v>1317</v>
      </c>
      <c r="S530" t="s">
        <v>1336</v>
      </c>
      <c r="T530" t="s">
        <v>1340</v>
      </c>
      <c r="W530" t="s">
        <v>1366</v>
      </c>
      <c r="AA530">
        <v>0</v>
      </c>
      <c r="AB530">
        <v>0</v>
      </c>
      <c r="AD530">
        <v>0</v>
      </c>
      <c r="AE530">
        <v>0</v>
      </c>
      <c r="AF530">
        <v>0</v>
      </c>
      <c r="AG530">
        <v>0</v>
      </c>
    </row>
    <row r="531" spans="1:33">
      <c r="A531" s="1">
        <f>HYPERLINK("https://lsnyc.legalserver.org/matter/dynamic-profile/view/1839704","17-1839704")</f>
        <v>0</v>
      </c>
      <c r="B531" t="s">
        <v>33</v>
      </c>
      <c r="C531" t="s">
        <v>38</v>
      </c>
      <c r="D531" t="s">
        <v>173</v>
      </c>
      <c r="E531" t="s">
        <v>1018</v>
      </c>
      <c r="F531">
        <v>2090</v>
      </c>
      <c r="G531" t="s">
        <v>1206</v>
      </c>
      <c r="I531" t="s">
        <v>1299</v>
      </c>
      <c r="J531">
        <v>2</v>
      </c>
      <c r="K531">
        <v>1</v>
      </c>
      <c r="L531">
        <v>0</v>
      </c>
      <c r="M531" t="s">
        <v>1301</v>
      </c>
      <c r="N531">
        <v>83000</v>
      </c>
      <c r="O531">
        <v>10302</v>
      </c>
      <c r="P531" t="s">
        <v>1307</v>
      </c>
      <c r="Q531" t="s">
        <v>1320</v>
      </c>
      <c r="R531" t="s">
        <v>1316</v>
      </c>
      <c r="S531" t="s">
        <v>1349</v>
      </c>
      <c r="T531" t="s">
        <v>1340</v>
      </c>
      <c r="U531" t="s">
        <v>1358</v>
      </c>
      <c r="W531" t="s">
        <v>1374</v>
      </c>
      <c r="Y531" t="s">
        <v>1366</v>
      </c>
      <c r="AA531">
        <v>0</v>
      </c>
      <c r="AB531">
        <v>0</v>
      </c>
      <c r="AD531">
        <v>0</v>
      </c>
      <c r="AE531">
        <v>0</v>
      </c>
      <c r="AF531">
        <v>0</v>
      </c>
      <c r="AG531">
        <v>0</v>
      </c>
    </row>
    <row r="532" spans="1:33">
      <c r="A532" s="1">
        <f>HYPERLINK("https://lsnyc.legalserver.org/matter/dynamic-profile/view/1846554","17-1846554")</f>
        <v>0</v>
      </c>
      <c r="B532" t="s">
        <v>36</v>
      </c>
      <c r="C532" t="s">
        <v>46</v>
      </c>
      <c r="D532" t="s">
        <v>488</v>
      </c>
      <c r="E532" t="s">
        <v>1019</v>
      </c>
      <c r="F532">
        <v>2094</v>
      </c>
      <c r="G532" t="s">
        <v>1209</v>
      </c>
      <c r="I532" t="s">
        <v>1299</v>
      </c>
      <c r="J532">
        <v>3</v>
      </c>
      <c r="K532">
        <v>0</v>
      </c>
      <c r="L532">
        <v>0</v>
      </c>
      <c r="M532" t="s">
        <v>1302</v>
      </c>
      <c r="N532">
        <v>9600</v>
      </c>
      <c r="O532">
        <v>10453</v>
      </c>
      <c r="P532" t="s">
        <v>1310</v>
      </c>
      <c r="Q532" t="s">
        <v>1314</v>
      </c>
      <c r="R532" t="s">
        <v>1320</v>
      </c>
      <c r="S532" t="s">
        <v>1336</v>
      </c>
      <c r="T532" t="s">
        <v>1334</v>
      </c>
      <c r="W532" t="s">
        <v>1373</v>
      </c>
      <c r="Y532" t="s">
        <v>1389</v>
      </c>
      <c r="AA532">
        <v>0</v>
      </c>
      <c r="AB532">
        <v>0</v>
      </c>
      <c r="AD532">
        <v>0</v>
      </c>
      <c r="AE532">
        <v>0</v>
      </c>
      <c r="AF532">
        <v>0</v>
      </c>
      <c r="AG532">
        <v>0</v>
      </c>
    </row>
    <row r="533" spans="1:33">
      <c r="A533" s="1">
        <f>HYPERLINK("https://lsnyc.legalserver.org/matter/dynamic-profile/view/1848536","17-1848536")</f>
        <v>0</v>
      </c>
      <c r="B533" t="s">
        <v>34</v>
      </c>
      <c r="C533" t="s">
        <v>42</v>
      </c>
      <c r="D533" t="s">
        <v>350</v>
      </c>
      <c r="E533" t="s">
        <v>1020</v>
      </c>
      <c r="F533">
        <v>2093</v>
      </c>
      <c r="G533" t="s">
        <v>1191</v>
      </c>
      <c r="I533" t="s">
        <v>1299</v>
      </c>
      <c r="J533">
        <v>1</v>
      </c>
      <c r="K533">
        <v>0</v>
      </c>
      <c r="L533">
        <v>1</v>
      </c>
      <c r="M533" t="s">
        <v>1301</v>
      </c>
      <c r="N533">
        <v>14928</v>
      </c>
      <c r="O533">
        <v>11419</v>
      </c>
      <c r="P533" t="s">
        <v>1308</v>
      </c>
      <c r="Q533" t="s">
        <v>1315</v>
      </c>
      <c r="S533" t="s">
        <v>1338</v>
      </c>
      <c r="U533" t="s">
        <v>1354</v>
      </c>
      <c r="W533" t="s">
        <v>1366</v>
      </c>
      <c r="AA533">
        <v>0</v>
      </c>
      <c r="AB533">
        <v>0</v>
      </c>
      <c r="AD533">
        <v>0</v>
      </c>
      <c r="AE533">
        <v>0</v>
      </c>
      <c r="AF533">
        <v>0</v>
      </c>
      <c r="AG533">
        <v>0</v>
      </c>
    </row>
    <row r="534" spans="1:33">
      <c r="A534" s="1">
        <f>HYPERLINK("https://lsnyc.legalserver.org/matter/dynamic-profile/view/1852180","17-1852180")</f>
        <v>0</v>
      </c>
      <c r="B534" t="s">
        <v>35</v>
      </c>
      <c r="C534" t="s">
        <v>55</v>
      </c>
      <c r="D534" t="s">
        <v>489</v>
      </c>
      <c r="E534" t="s">
        <v>629</v>
      </c>
      <c r="F534">
        <v>2091</v>
      </c>
      <c r="G534" t="s">
        <v>1205</v>
      </c>
      <c r="I534" t="s">
        <v>1299</v>
      </c>
      <c r="J534">
        <v>3</v>
      </c>
      <c r="K534">
        <v>0</v>
      </c>
      <c r="L534">
        <v>1</v>
      </c>
      <c r="M534" t="s">
        <v>1302</v>
      </c>
      <c r="N534">
        <v>37872</v>
      </c>
      <c r="O534">
        <v>11238</v>
      </c>
      <c r="P534" t="s">
        <v>1309</v>
      </c>
      <c r="Q534" t="s">
        <v>1324</v>
      </c>
      <c r="R534" t="s">
        <v>1316</v>
      </c>
      <c r="S534" t="s">
        <v>1332</v>
      </c>
      <c r="T534" t="s">
        <v>1334</v>
      </c>
      <c r="W534" t="s">
        <v>1362</v>
      </c>
      <c r="Y534" t="s">
        <v>1368</v>
      </c>
      <c r="AA534">
        <v>0</v>
      </c>
      <c r="AB534">
        <v>0</v>
      </c>
      <c r="AD534">
        <v>0</v>
      </c>
      <c r="AE534">
        <v>0</v>
      </c>
      <c r="AF534">
        <v>0</v>
      </c>
      <c r="AG534">
        <v>0</v>
      </c>
    </row>
    <row r="535" spans="1:33">
      <c r="A535" s="1">
        <f>HYPERLINK("https://lsnyc.legalserver.org/matter/dynamic-profile/view/1855874","18-1855874")</f>
        <v>0</v>
      </c>
      <c r="B535" t="s">
        <v>33</v>
      </c>
      <c r="C535" t="s">
        <v>63</v>
      </c>
      <c r="D535" t="s">
        <v>490</v>
      </c>
      <c r="E535" t="s">
        <v>1021</v>
      </c>
      <c r="F535">
        <v>2090</v>
      </c>
      <c r="G535" t="s">
        <v>1279</v>
      </c>
      <c r="I535" t="s">
        <v>1299</v>
      </c>
      <c r="J535">
        <v>1</v>
      </c>
      <c r="K535">
        <v>1</v>
      </c>
      <c r="L535">
        <v>0</v>
      </c>
      <c r="N535">
        <v>23832</v>
      </c>
      <c r="O535">
        <v>10314</v>
      </c>
      <c r="P535" t="s">
        <v>1307</v>
      </c>
      <c r="Q535" t="s">
        <v>1314</v>
      </c>
      <c r="S535" t="s">
        <v>1333</v>
      </c>
      <c r="T535" t="s">
        <v>1334</v>
      </c>
      <c r="U535" t="s">
        <v>1356</v>
      </c>
      <c r="W535" t="s">
        <v>1366</v>
      </c>
      <c r="AA535">
        <v>0</v>
      </c>
      <c r="AB535">
        <v>0</v>
      </c>
      <c r="AD535">
        <v>0</v>
      </c>
      <c r="AE535">
        <v>0</v>
      </c>
      <c r="AF535">
        <v>0</v>
      </c>
      <c r="AG535">
        <v>0</v>
      </c>
    </row>
    <row r="536" spans="1:33">
      <c r="A536" s="1">
        <f>HYPERLINK("https://lsnyc.legalserver.org/matter/dynamic-profile/view/1856718","18-1856718")</f>
        <v>0</v>
      </c>
      <c r="B536" t="s">
        <v>33</v>
      </c>
      <c r="C536" t="s">
        <v>38</v>
      </c>
      <c r="D536" t="s">
        <v>487</v>
      </c>
      <c r="E536" t="s">
        <v>1017</v>
      </c>
      <c r="F536">
        <v>2090</v>
      </c>
      <c r="G536" t="s">
        <v>1197</v>
      </c>
      <c r="H536" t="s">
        <v>1197</v>
      </c>
      <c r="I536" t="s">
        <v>1299</v>
      </c>
      <c r="J536">
        <v>2</v>
      </c>
      <c r="K536">
        <v>2</v>
      </c>
      <c r="L536">
        <v>0</v>
      </c>
      <c r="N536">
        <v>98500</v>
      </c>
      <c r="O536">
        <v>10304</v>
      </c>
      <c r="P536" t="s">
        <v>1307</v>
      </c>
      <c r="Q536" t="s">
        <v>1315</v>
      </c>
      <c r="S536" t="s">
        <v>1334</v>
      </c>
      <c r="AA536">
        <v>0</v>
      </c>
      <c r="AB536">
        <v>0</v>
      </c>
      <c r="AD536">
        <v>0</v>
      </c>
      <c r="AE536">
        <v>0</v>
      </c>
      <c r="AF536">
        <v>0</v>
      </c>
      <c r="AG536">
        <v>0</v>
      </c>
    </row>
    <row r="537" spans="1:33">
      <c r="A537" s="1">
        <f>HYPERLINK("https://lsnyc.legalserver.org/matter/dynamic-profile/view/1859296","18-1859296")</f>
        <v>0</v>
      </c>
      <c r="B537" t="s">
        <v>33</v>
      </c>
      <c r="C537" t="s">
        <v>56</v>
      </c>
      <c r="D537" t="s">
        <v>491</v>
      </c>
      <c r="E537" t="s">
        <v>1000</v>
      </c>
      <c r="F537">
        <v>2090</v>
      </c>
      <c r="G537" t="s">
        <v>1221</v>
      </c>
      <c r="I537" t="s">
        <v>1299</v>
      </c>
      <c r="J537">
        <v>2</v>
      </c>
      <c r="K537">
        <v>0</v>
      </c>
      <c r="L537">
        <v>1</v>
      </c>
      <c r="N537">
        <v>48600</v>
      </c>
      <c r="O537">
        <v>10314</v>
      </c>
      <c r="P537" t="s">
        <v>1307</v>
      </c>
      <c r="Q537" t="s">
        <v>1316</v>
      </c>
      <c r="S537" t="s">
        <v>1332</v>
      </c>
      <c r="T537" t="s">
        <v>1333</v>
      </c>
      <c r="W537" t="s">
        <v>1361</v>
      </c>
      <c r="AA537">
        <v>0</v>
      </c>
      <c r="AB537">
        <v>0</v>
      </c>
      <c r="AD537">
        <v>0</v>
      </c>
      <c r="AE537">
        <v>0</v>
      </c>
      <c r="AF537">
        <v>0</v>
      </c>
      <c r="AG537">
        <v>0</v>
      </c>
    </row>
    <row r="538" spans="1:33">
      <c r="A538" s="1">
        <f>HYPERLINK("https://lsnyc.legalserver.org/matter/dynamic-profile/view/1862032","18-1862032")</f>
        <v>0</v>
      </c>
      <c r="B538" t="s">
        <v>35</v>
      </c>
      <c r="C538" t="s">
        <v>51</v>
      </c>
      <c r="D538" t="s">
        <v>492</v>
      </c>
      <c r="E538" t="s">
        <v>996</v>
      </c>
      <c r="F538">
        <v>2091</v>
      </c>
      <c r="G538" t="s">
        <v>1248</v>
      </c>
      <c r="I538" t="s">
        <v>1299</v>
      </c>
      <c r="J538">
        <v>6</v>
      </c>
      <c r="K538">
        <v>0</v>
      </c>
      <c r="L538">
        <v>1</v>
      </c>
      <c r="M538" t="s">
        <v>1304</v>
      </c>
      <c r="N538">
        <v>167256</v>
      </c>
      <c r="O538">
        <v>11220</v>
      </c>
      <c r="P538" t="s">
        <v>1309</v>
      </c>
      <c r="Q538" t="s">
        <v>1328</v>
      </c>
      <c r="S538" t="s">
        <v>1338</v>
      </c>
      <c r="T538" t="s">
        <v>1336</v>
      </c>
      <c r="W538" t="s">
        <v>1382</v>
      </c>
      <c r="Y538" t="s">
        <v>1365</v>
      </c>
      <c r="AA538">
        <v>0</v>
      </c>
      <c r="AB538">
        <v>0</v>
      </c>
      <c r="AD538">
        <v>0</v>
      </c>
      <c r="AE538">
        <v>0</v>
      </c>
      <c r="AF538">
        <v>0</v>
      </c>
      <c r="AG538">
        <v>0</v>
      </c>
    </row>
    <row r="539" spans="1:33">
      <c r="A539" s="1">
        <f>HYPERLINK("https://lsnyc.legalserver.org/matter/dynamic-profile/view/1869380","18-1869380")</f>
        <v>0</v>
      </c>
      <c r="B539" t="s">
        <v>35</v>
      </c>
      <c r="C539" t="s">
        <v>61</v>
      </c>
      <c r="D539" t="s">
        <v>405</v>
      </c>
      <c r="E539" t="s">
        <v>1022</v>
      </c>
      <c r="F539">
        <v>2091</v>
      </c>
      <c r="G539" t="s">
        <v>1192</v>
      </c>
      <c r="I539" t="s">
        <v>1299</v>
      </c>
      <c r="J539">
        <v>4</v>
      </c>
      <c r="K539">
        <v>0</v>
      </c>
      <c r="L539">
        <v>0</v>
      </c>
      <c r="M539" t="s">
        <v>1301</v>
      </c>
      <c r="N539">
        <v>81000</v>
      </c>
      <c r="O539">
        <v>11212</v>
      </c>
      <c r="P539" t="s">
        <v>1309</v>
      </c>
      <c r="Q539" t="s">
        <v>1316</v>
      </c>
      <c r="S539" t="s">
        <v>1332</v>
      </c>
      <c r="T539" t="s">
        <v>1333</v>
      </c>
      <c r="W539" t="s">
        <v>1361</v>
      </c>
      <c r="AA539">
        <v>0</v>
      </c>
      <c r="AB539">
        <v>0</v>
      </c>
      <c r="AD539">
        <v>0</v>
      </c>
      <c r="AE539">
        <v>0</v>
      </c>
      <c r="AF539">
        <v>0</v>
      </c>
      <c r="AG539">
        <v>0</v>
      </c>
    </row>
    <row r="540" spans="1:33">
      <c r="A540" s="1">
        <f>HYPERLINK("https://lsnyc.legalserver.org/matter/dynamic-profile/view/1871405","18-1871405")</f>
        <v>0</v>
      </c>
      <c r="B540" t="s">
        <v>34</v>
      </c>
      <c r="C540" t="s">
        <v>44</v>
      </c>
      <c r="D540" t="s">
        <v>493</v>
      </c>
      <c r="E540" t="s">
        <v>1023</v>
      </c>
      <c r="F540">
        <v>2093</v>
      </c>
      <c r="G540" t="s">
        <v>1280</v>
      </c>
      <c r="I540" t="s">
        <v>1299</v>
      </c>
      <c r="J540">
        <v>4</v>
      </c>
      <c r="K540">
        <v>0</v>
      </c>
      <c r="L540">
        <v>2</v>
      </c>
      <c r="M540" t="s">
        <v>1301</v>
      </c>
      <c r="N540">
        <v>61404</v>
      </c>
      <c r="O540">
        <v>11355</v>
      </c>
      <c r="P540" t="s">
        <v>1308</v>
      </c>
      <c r="Q540" t="s">
        <v>1322</v>
      </c>
      <c r="S540" t="s">
        <v>1340</v>
      </c>
      <c r="AA540">
        <v>0</v>
      </c>
      <c r="AB540">
        <v>0</v>
      </c>
      <c r="AD540">
        <v>0</v>
      </c>
      <c r="AE540">
        <v>0</v>
      </c>
      <c r="AF540">
        <v>0</v>
      </c>
      <c r="AG540">
        <v>0</v>
      </c>
    </row>
    <row r="541" spans="1:33">
      <c r="A541" s="1">
        <f>HYPERLINK("https://lsnyc.legalserver.org/matter/dynamic-profile/view/1876318","18-1876318")</f>
        <v>0</v>
      </c>
      <c r="B541" t="s">
        <v>34</v>
      </c>
      <c r="C541" t="s">
        <v>44</v>
      </c>
      <c r="D541" t="s">
        <v>494</v>
      </c>
      <c r="E541" t="s">
        <v>1024</v>
      </c>
      <c r="F541">
        <v>2093</v>
      </c>
      <c r="G541" t="s">
        <v>1199</v>
      </c>
      <c r="H541" t="s">
        <v>1254</v>
      </c>
      <c r="I541" t="s">
        <v>1299</v>
      </c>
      <c r="J541">
        <v>4</v>
      </c>
      <c r="K541">
        <v>1</v>
      </c>
      <c r="L541">
        <v>2</v>
      </c>
      <c r="M541" t="s">
        <v>1302</v>
      </c>
      <c r="N541">
        <v>40572</v>
      </c>
      <c r="O541">
        <v>11691</v>
      </c>
      <c r="P541" t="s">
        <v>1308</v>
      </c>
      <c r="Q541" t="s">
        <v>1314</v>
      </c>
      <c r="R541" t="s">
        <v>1315</v>
      </c>
      <c r="S541" t="s">
        <v>1336</v>
      </c>
      <c r="AA541">
        <v>0</v>
      </c>
      <c r="AB541">
        <v>0</v>
      </c>
      <c r="AD541">
        <v>0</v>
      </c>
      <c r="AE541">
        <v>0</v>
      </c>
      <c r="AF541">
        <v>0</v>
      </c>
      <c r="AG541">
        <v>0</v>
      </c>
    </row>
    <row r="542" spans="1:33">
      <c r="A542" s="1">
        <f>HYPERLINK("https://lsnyc.legalserver.org/matter/dynamic-profile/view/1876532","18-1876532")</f>
        <v>0</v>
      </c>
      <c r="B542" t="s">
        <v>33</v>
      </c>
      <c r="C542" t="s">
        <v>56</v>
      </c>
      <c r="D542" t="s">
        <v>495</v>
      </c>
      <c r="E542" t="s">
        <v>1025</v>
      </c>
      <c r="F542">
        <v>2090</v>
      </c>
      <c r="G542" t="s">
        <v>1212</v>
      </c>
      <c r="I542" t="s">
        <v>1299</v>
      </c>
      <c r="J542">
        <v>5</v>
      </c>
      <c r="K542">
        <v>0</v>
      </c>
      <c r="L542">
        <v>0</v>
      </c>
      <c r="M542" t="s">
        <v>1301</v>
      </c>
      <c r="N542">
        <v>71256</v>
      </c>
      <c r="O542">
        <v>10314</v>
      </c>
      <c r="P542" t="s">
        <v>1307</v>
      </c>
      <c r="Q542" t="s">
        <v>1319</v>
      </c>
      <c r="S542" t="s">
        <v>1334</v>
      </c>
      <c r="AA542">
        <v>0</v>
      </c>
      <c r="AB542">
        <v>0</v>
      </c>
      <c r="AD542">
        <v>0</v>
      </c>
      <c r="AE542">
        <v>0</v>
      </c>
      <c r="AF542">
        <v>0</v>
      </c>
      <c r="AG542">
        <v>0</v>
      </c>
    </row>
    <row r="543" spans="1:33">
      <c r="A543" s="1">
        <f>HYPERLINK("https://lsnyc.legalserver.org/matter/dynamic-profile/view/1876770","18-1876770")</f>
        <v>0</v>
      </c>
      <c r="B543" t="s">
        <v>33</v>
      </c>
      <c r="C543" t="s">
        <v>56</v>
      </c>
      <c r="D543" t="s">
        <v>496</v>
      </c>
      <c r="E543" t="s">
        <v>1026</v>
      </c>
      <c r="F543">
        <v>2090</v>
      </c>
      <c r="G543" t="s">
        <v>1181</v>
      </c>
      <c r="I543" t="s">
        <v>1299</v>
      </c>
      <c r="J543">
        <v>5</v>
      </c>
      <c r="K543">
        <v>0</v>
      </c>
      <c r="L543">
        <v>0</v>
      </c>
      <c r="M543" t="s">
        <v>1301</v>
      </c>
      <c r="N543">
        <v>21600</v>
      </c>
      <c r="O543">
        <v>10314</v>
      </c>
      <c r="P543" t="s">
        <v>1307</v>
      </c>
      <c r="Q543" t="s">
        <v>1325</v>
      </c>
      <c r="R543" t="s">
        <v>1317</v>
      </c>
      <c r="S543" t="s">
        <v>1336</v>
      </c>
      <c r="W543" t="s">
        <v>1366</v>
      </c>
      <c r="AA543">
        <v>0</v>
      </c>
      <c r="AB543">
        <v>0</v>
      </c>
      <c r="AD543">
        <v>0</v>
      </c>
      <c r="AE543">
        <v>0</v>
      </c>
      <c r="AF543">
        <v>0</v>
      </c>
      <c r="AG543">
        <v>0</v>
      </c>
    </row>
    <row r="544" spans="1:33">
      <c r="A544" s="1">
        <f>HYPERLINK("https://lsnyc.legalserver.org/matter/dynamic-profile/view/1878046","18-1878046")</f>
        <v>0</v>
      </c>
      <c r="B544" t="s">
        <v>36</v>
      </c>
      <c r="C544" t="s">
        <v>41</v>
      </c>
      <c r="D544" t="s">
        <v>454</v>
      </c>
      <c r="E544" t="s">
        <v>1027</v>
      </c>
      <c r="F544">
        <v>2094</v>
      </c>
      <c r="G544" t="s">
        <v>1207</v>
      </c>
      <c r="I544" t="s">
        <v>1299</v>
      </c>
      <c r="J544">
        <v>3</v>
      </c>
      <c r="K544">
        <v>2</v>
      </c>
      <c r="L544">
        <v>0</v>
      </c>
      <c r="M544" t="s">
        <v>1303</v>
      </c>
      <c r="N544">
        <v>95976</v>
      </c>
      <c r="O544">
        <v>10473</v>
      </c>
      <c r="P544" t="s">
        <v>1310</v>
      </c>
      <c r="Q544" t="s">
        <v>1315</v>
      </c>
      <c r="R544" t="s">
        <v>1325</v>
      </c>
      <c r="S544" t="s">
        <v>1334</v>
      </c>
      <c r="T544" t="s">
        <v>1336</v>
      </c>
      <c r="W544" t="s">
        <v>1365</v>
      </c>
      <c r="Y544" t="s">
        <v>1366</v>
      </c>
      <c r="AA544">
        <v>0</v>
      </c>
      <c r="AB544">
        <v>0</v>
      </c>
      <c r="AD544">
        <v>0</v>
      </c>
      <c r="AE544">
        <v>0</v>
      </c>
      <c r="AF544">
        <v>0</v>
      </c>
      <c r="AG544">
        <v>0</v>
      </c>
    </row>
    <row r="545" spans="1:33">
      <c r="A545" s="1">
        <f>HYPERLINK("https://lsnyc.legalserver.org/matter/dynamic-profile/view/1878911","18-1878911")</f>
        <v>0</v>
      </c>
      <c r="B545" t="s">
        <v>36</v>
      </c>
      <c r="C545" t="s">
        <v>41</v>
      </c>
      <c r="D545" t="s">
        <v>497</v>
      </c>
      <c r="E545" t="s">
        <v>1028</v>
      </c>
      <c r="F545">
        <v>2094</v>
      </c>
      <c r="G545" t="s">
        <v>1183</v>
      </c>
      <c r="I545" t="s">
        <v>1299</v>
      </c>
      <c r="J545">
        <v>2</v>
      </c>
      <c r="K545">
        <v>0</v>
      </c>
      <c r="L545">
        <v>0</v>
      </c>
      <c r="M545" t="s">
        <v>1304</v>
      </c>
      <c r="N545">
        <v>66720</v>
      </c>
      <c r="O545">
        <v>10465</v>
      </c>
      <c r="P545" t="s">
        <v>1310</v>
      </c>
      <c r="Q545" t="s">
        <v>1321</v>
      </c>
      <c r="S545" t="s">
        <v>1332</v>
      </c>
      <c r="W545" t="s">
        <v>1361</v>
      </c>
      <c r="AA545">
        <v>0</v>
      </c>
      <c r="AB545">
        <v>0</v>
      </c>
      <c r="AD545">
        <v>0</v>
      </c>
      <c r="AE545">
        <v>0</v>
      </c>
      <c r="AF545">
        <v>0</v>
      </c>
      <c r="AG545">
        <v>0</v>
      </c>
    </row>
    <row r="546" spans="1:33">
      <c r="A546" s="1">
        <f>HYPERLINK("https://lsnyc.legalserver.org/matter/dynamic-profile/view/1881036","18-1881036")</f>
        <v>0</v>
      </c>
      <c r="B546" t="s">
        <v>36</v>
      </c>
      <c r="C546" t="s">
        <v>59</v>
      </c>
      <c r="D546" t="s">
        <v>130</v>
      </c>
      <c r="E546" t="s">
        <v>1029</v>
      </c>
      <c r="F546">
        <v>2094</v>
      </c>
      <c r="G546" t="s">
        <v>1281</v>
      </c>
      <c r="I546" t="s">
        <v>1299</v>
      </c>
      <c r="J546">
        <v>2</v>
      </c>
      <c r="K546">
        <v>1</v>
      </c>
      <c r="L546">
        <v>0</v>
      </c>
      <c r="M546" t="s">
        <v>1302</v>
      </c>
      <c r="N546">
        <v>54175.98</v>
      </c>
      <c r="O546">
        <v>10467</v>
      </c>
      <c r="P546" t="s">
        <v>1310</v>
      </c>
      <c r="Q546" t="s">
        <v>1315</v>
      </c>
      <c r="R546" t="s">
        <v>1331</v>
      </c>
      <c r="S546" t="s">
        <v>1338</v>
      </c>
      <c r="AA546">
        <v>0</v>
      </c>
      <c r="AB546">
        <v>0</v>
      </c>
      <c r="AD546">
        <v>0</v>
      </c>
      <c r="AE546">
        <v>0</v>
      </c>
      <c r="AF546">
        <v>0</v>
      </c>
      <c r="AG546">
        <v>0</v>
      </c>
    </row>
    <row r="547" spans="1:33">
      <c r="A547" s="1">
        <f>HYPERLINK("https://lsnyc.legalserver.org/matter/dynamic-profile/view/1882126","18-1882126")</f>
        <v>0</v>
      </c>
      <c r="B547" t="s">
        <v>36</v>
      </c>
      <c r="C547" t="s">
        <v>58</v>
      </c>
      <c r="D547" t="s">
        <v>498</v>
      </c>
      <c r="E547" t="s">
        <v>1030</v>
      </c>
      <c r="F547">
        <v>2094</v>
      </c>
      <c r="G547" t="s">
        <v>1199</v>
      </c>
      <c r="I547" t="s">
        <v>1299</v>
      </c>
      <c r="J547">
        <v>3</v>
      </c>
      <c r="K547">
        <v>1</v>
      </c>
      <c r="L547">
        <v>0</v>
      </c>
      <c r="M547" t="s">
        <v>1302</v>
      </c>
      <c r="N547">
        <v>176400</v>
      </c>
      <c r="O547">
        <v>10472</v>
      </c>
      <c r="P547" t="s">
        <v>1310</v>
      </c>
      <c r="Q547" t="s">
        <v>1315</v>
      </c>
      <c r="R547" t="s">
        <v>1314</v>
      </c>
      <c r="S547" t="s">
        <v>1332</v>
      </c>
      <c r="T547" t="s">
        <v>1333</v>
      </c>
      <c r="U547" t="s">
        <v>1352</v>
      </c>
      <c r="W547" t="s">
        <v>1361</v>
      </c>
      <c r="Y547" t="s">
        <v>1360</v>
      </c>
      <c r="AA547">
        <v>2709.18</v>
      </c>
      <c r="AB547">
        <v>0</v>
      </c>
      <c r="AD547">
        <v>0</v>
      </c>
      <c r="AE547">
        <v>0</v>
      </c>
      <c r="AF547">
        <v>0</v>
      </c>
      <c r="AG547">
        <v>0</v>
      </c>
    </row>
    <row r="548" spans="1:33">
      <c r="A548" s="1">
        <f>HYPERLINK("https://lsnyc.legalserver.org/matter/dynamic-profile/view/1882422","18-1882422")</f>
        <v>0</v>
      </c>
      <c r="B548" t="s">
        <v>34</v>
      </c>
      <c r="C548" t="s">
        <v>44</v>
      </c>
      <c r="D548" t="s">
        <v>283</v>
      </c>
      <c r="E548" t="s">
        <v>1031</v>
      </c>
      <c r="F548">
        <v>2093</v>
      </c>
      <c r="G548" t="s">
        <v>1195</v>
      </c>
      <c r="I548" t="s">
        <v>1299</v>
      </c>
      <c r="J548">
        <v>1</v>
      </c>
      <c r="K548">
        <v>0</v>
      </c>
      <c r="L548">
        <v>0</v>
      </c>
      <c r="M548" t="s">
        <v>1301</v>
      </c>
      <c r="N548">
        <v>48000</v>
      </c>
      <c r="O548">
        <v>11373</v>
      </c>
      <c r="P548" t="s">
        <v>1308</v>
      </c>
      <c r="Q548" t="s">
        <v>1315</v>
      </c>
      <c r="S548" t="s">
        <v>1340</v>
      </c>
      <c r="AA548">
        <v>0</v>
      </c>
      <c r="AB548">
        <v>0</v>
      </c>
      <c r="AD548">
        <v>0</v>
      </c>
      <c r="AE548">
        <v>0</v>
      </c>
      <c r="AF548">
        <v>0</v>
      </c>
      <c r="AG548">
        <v>0</v>
      </c>
    </row>
    <row r="549" spans="1:33">
      <c r="A549" s="1">
        <f>HYPERLINK("https://lsnyc.legalserver.org/matter/dynamic-profile/view/1883555","18-1883555")</f>
        <v>0</v>
      </c>
      <c r="B549" t="s">
        <v>34</v>
      </c>
      <c r="C549" t="s">
        <v>49</v>
      </c>
      <c r="D549" t="s">
        <v>157</v>
      </c>
      <c r="E549" t="s">
        <v>1032</v>
      </c>
      <c r="F549">
        <v>2093</v>
      </c>
      <c r="G549" t="s">
        <v>1207</v>
      </c>
      <c r="I549" t="s">
        <v>1299</v>
      </c>
      <c r="J549">
        <v>1</v>
      </c>
      <c r="K549">
        <v>0</v>
      </c>
      <c r="L549">
        <v>1</v>
      </c>
      <c r="M549" t="s">
        <v>1301</v>
      </c>
      <c r="N549">
        <v>9600</v>
      </c>
      <c r="O549">
        <v>11420</v>
      </c>
      <c r="P549" t="s">
        <v>1308</v>
      </c>
      <c r="Q549" t="s">
        <v>1314</v>
      </c>
      <c r="R549" t="s">
        <v>1315</v>
      </c>
      <c r="S549" t="s">
        <v>1332</v>
      </c>
      <c r="T549" t="s">
        <v>1340</v>
      </c>
      <c r="AA549">
        <v>0</v>
      </c>
      <c r="AB549">
        <v>0</v>
      </c>
      <c r="AD549">
        <v>0</v>
      </c>
      <c r="AE549">
        <v>0</v>
      </c>
      <c r="AF549">
        <v>0</v>
      </c>
      <c r="AG549">
        <v>0</v>
      </c>
    </row>
    <row r="550" spans="1:33">
      <c r="A550" s="1">
        <f>HYPERLINK("https://lsnyc.legalserver.org/matter/dynamic-profile/view/1884309","18-1884309")</f>
        <v>0</v>
      </c>
      <c r="B550" t="s">
        <v>34</v>
      </c>
      <c r="C550" t="s">
        <v>64</v>
      </c>
      <c r="D550" t="s">
        <v>499</v>
      </c>
      <c r="E550" t="s">
        <v>1033</v>
      </c>
      <c r="F550">
        <v>2093</v>
      </c>
      <c r="G550" t="s">
        <v>1199</v>
      </c>
      <c r="I550" t="s">
        <v>1299</v>
      </c>
      <c r="J550">
        <v>2</v>
      </c>
      <c r="K550">
        <v>3</v>
      </c>
      <c r="L550">
        <v>0</v>
      </c>
      <c r="M550" t="s">
        <v>1301</v>
      </c>
      <c r="N550">
        <v>14400</v>
      </c>
      <c r="O550">
        <v>11357</v>
      </c>
      <c r="P550" t="s">
        <v>1308</v>
      </c>
      <c r="Q550" t="s">
        <v>1314</v>
      </c>
      <c r="R550" t="s">
        <v>1315</v>
      </c>
      <c r="S550" t="s">
        <v>1332</v>
      </c>
      <c r="T550" t="s">
        <v>1333</v>
      </c>
      <c r="U550" t="s">
        <v>1358</v>
      </c>
      <c r="W550" t="s">
        <v>1366</v>
      </c>
      <c r="AA550">
        <v>0</v>
      </c>
      <c r="AB550">
        <v>0</v>
      </c>
      <c r="AD550">
        <v>0</v>
      </c>
      <c r="AE550">
        <v>0</v>
      </c>
      <c r="AF550">
        <v>0</v>
      </c>
      <c r="AG550">
        <v>0</v>
      </c>
    </row>
    <row r="551" spans="1:33">
      <c r="A551" s="1">
        <f>HYPERLINK("https://lsnyc.legalserver.org/matter/dynamic-profile/view/1884884","18-1884884")</f>
        <v>0</v>
      </c>
      <c r="B551" t="s">
        <v>34</v>
      </c>
      <c r="C551" t="s">
        <v>64</v>
      </c>
      <c r="D551" t="s">
        <v>288</v>
      </c>
      <c r="E551" t="s">
        <v>792</v>
      </c>
      <c r="F551">
        <v>2093</v>
      </c>
      <c r="G551" t="s">
        <v>1248</v>
      </c>
      <c r="I551" t="s">
        <v>1299</v>
      </c>
      <c r="J551">
        <v>1</v>
      </c>
      <c r="K551">
        <v>0</v>
      </c>
      <c r="L551">
        <v>0</v>
      </c>
      <c r="M551" t="s">
        <v>1301</v>
      </c>
      <c r="N551">
        <v>13560</v>
      </c>
      <c r="O551">
        <v>11434</v>
      </c>
      <c r="P551" t="s">
        <v>1308</v>
      </c>
      <c r="Q551" t="s">
        <v>1319</v>
      </c>
      <c r="S551" t="s">
        <v>1333</v>
      </c>
      <c r="T551" t="s">
        <v>1340</v>
      </c>
      <c r="U551" t="s">
        <v>1358</v>
      </c>
      <c r="W551" t="s">
        <v>1366</v>
      </c>
      <c r="AA551">
        <v>0</v>
      </c>
      <c r="AB551">
        <v>0</v>
      </c>
      <c r="AD551">
        <v>0</v>
      </c>
      <c r="AE551">
        <v>0</v>
      </c>
      <c r="AF551">
        <v>0</v>
      </c>
      <c r="AG551">
        <v>0</v>
      </c>
    </row>
    <row r="552" spans="1:33">
      <c r="A552" s="1">
        <f>HYPERLINK("https://lsnyc.legalserver.org/matter/dynamic-profile/view/1884469","18-1884469")</f>
        <v>0</v>
      </c>
      <c r="B552" t="s">
        <v>35</v>
      </c>
      <c r="C552" t="s">
        <v>61</v>
      </c>
      <c r="D552" t="s">
        <v>500</v>
      </c>
      <c r="E552" t="s">
        <v>1034</v>
      </c>
      <c r="F552">
        <v>2091</v>
      </c>
      <c r="G552" t="s">
        <v>1185</v>
      </c>
      <c r="I552" t="s">
        <v>1299</v>
      </c>
      <c r="J552">
        <v>2</v>
      </c>
      <c r="K552">
        <v>5</v>
      </c>
      <c r="L552">
        <v>0</v>
      </c>
      <c r="M552" t="s">
        <v>1301</v>
      </c>
      <c r="N552">
        <v>75400</v>
      </c>
      <c r="O552">
        <v>11209</v>
      </c>
      <c r="P552" t="s">
        <v>1309</v>
      </c>
      <c r="Q552" t="s">
        <v>1320</v>
      </c>
      <c r="S552" t="s">
        <v>1332</v>
      </c>
      <c r="T552" t="s">
        <v>1333</v>
      </c>
      <c r="U552" t="s">
        <v>1356</v>
      </c>
      <c r="W552" t="s">
        <v>1361</v>
      </c>
      <c r="AA552">
        <v>0</v>
      </c>
      <c r="AB552">
        <v>0</v>
      </c>
      <c r="AD552">
        <v>0</v>
      </c>
      <c r="AE552">
        <v>0</v>
      </c>
      <c r="AF552">
        <v>0</v>
      </c>
      <c r="AG552">
        <v>0</v>
      </c>
    </row>
    <row r="553" spans="1:33">
      <c r="A553" s="1">
        <f>HYPERLINK("https://lsnyc.legalserver.org/matter/dynamic-profile/view/1885554","18-1885554")</f>
        <v>0</v>
      </c>
      <c r="B553" t="s">
        <v>35</v>
      </c>
      <c r="C553" t="s">
        <v>61</v>
      </c>
      <c r="D553" t="s">
        <v>501</v>
      </c>
      <c r="E553" t="s">
        <v>1035</v>
      </c>
      <c r="F553">
        <v>2091</v>
      </c>
      <c r="G553" t="s">
        <v>1199</v>
      </c>
      <c r="I553" t="s">
        <v>1299</v>
      </c>
      <c r="J553">
        <v>3</v>
      </c>
      <c r="K553">
        <v>3</v>
      </c>
      <c r="L553">
        <v>0</v>
      </c>
      <c r="M553" t="s">
        <v>1302</v>
      </c>
      <c r="N553">
        <v>125000</v>
      </c>
      <c r="O553">
        <v>11207</v>
      </c>
      <c r="P553" t="s">
        <v>1309</v>
      </c>
      <c r="Q553" t="s">
        <v>1315</v>
      </c>
      <c r="S553" t="s">
        <v>1338</v>
      </c>
      <c r="T553" t="s">
        <v>1340</v>
      </c>
      <c r="AA553">
        <v>0</v>
      </c>
      <c r="AB553">
        <v>0</v>
      </c>
      <c r="AD553">
        <v>0</v>
      </c>
      <c r="AE553">
        <v>0</v>
      </c>
      <c r="AF553">
        <v>0</v>
      </c>
      <c r="AG553">
        <v>0</v>
      </c>
    </row>
    <row r="554" spans="1:33">
      <c r="A554" s="1">
        <f>HYPERLINK("https://lsnyc.legalserver.org/matter/dynamic-profile/view/1885847","18-1885847")</f>
        <v>0</v>
      </c>
      <c r="B554" t="s">
        <v>35</v>
      </c>
      <c r="C554" t="s">
        <v>61</v>
      </c>
      <c r="D554" t="s">
        <v>502</v>
      </c>
      <c r="E554" t="s">
        <v>1036</v>
      </c>
      <c r="F554">
        <v>2091</v>
      </c>
      <c r="G554" t="s">
        <v>1245</v>
      </c>
      <c r="I554" t="s">
        <v>1299</v>
      </c>
      <c r="J554">
        <v>4</v>
      </c>
      <c r="K554">
        <v>1</v>
      </c>
      <c r="L554">
        <v>0</v>
      </c>
      <c r="M554" t="s">
        <v>1302</v>
      </c>
      <c r="N554">
        <v>0</v>
      </c>
      <c r="O554">
        <v>11221</v>
      </c>
      <c r="P554" t="s">
        <v>1309</v>
      </c>
      <c r="Q554" t="s">
        <v>1331</v>
      </c>
      <c r="S554" t="s">
        <v>1337</v>
      </c>
      <c r="AA554">
        <v>0</v>
      </c>
      <c r="AB554">
        <v>0</v>
      </c>
      <c r="AD554">
        <v>0</v>
      </c>
      <c r="AE554">
        <v>0</v>
      </c>
      <c r="AF554">
        <v>0</v>
      </c>
      <c r="AG554">
        <v>0</v>
      </c>
    </row>
    <row r="555" spans="1:33">
      <c r="A555" s="1">
        <f>HYPERLINK("https://lsnyc.legalserver.org/matter/dynamic-profile/view/1886196","18-1886196")</f>
        <v>0</v>
      </c>
      <c r="B555" t="s">
        <v>36</v>
      </c>
      <c r="C555" t="s">
        <v>59</v>
      </c>
      <c r="D555" t="s">
        <v>104</v>
      </c>
      <c r="E555" t="s">
        <v>902</v>
      </c>
      <c r="F555">
        <v>2094</v>
      </c>
      <c r="G555" t="s">
        <v>1230</v>
      </c>
      <c r="I555" t="s">
        <v>1299</v>
      </c>
      <c r="J555">
        <v>2</v>
      </c>
      <c r="K555">
        <v>0</v>
      </c>
      <c r="L555">
        <v>2</v>
      </c>
      <c r="M555" t="s">
        <v>1301</v>
      </c>
      <c r="N555">
        <v>79440</v>
      </c>
      <c r="O555">
        <v>10469</v>
      </c>
      <c r="P555" t="s">
        <v>1310</v>
      </c>
      <c r="Q555" t="s">
        <v>1319</v>
      </c>
      <c r="S555" t="s">
        <v>1337</v>
      </c>
      <c r="AA555">
        <v>0</v>
      </c>
      <c r="AB555">
        <v>0</v>
      </c>
      <c r="AD555">
        <v>0</v>
      </c>
      <c r="AE555">
        <v>0</v>
      </c>
      <c r="AF555">
        <v>0</v>
      </c>
      <c r="AG555">
        <v>0</v>
      </c>
    </row>
    <row r="556" spans="1:33">
      <c r="A556" s="1">
        <f>HYPERLINK("https://lsnyc.legalserver.org/matter/dynamic-profile/view/1886743","18-1886743")</f>
        <v>0</v>
      </c>
      <c r="B556" t="s">
        <v>34</v>
      </c>
      <c r="C556" t="s">
        <v>39</v>
      </c>
      <c r="D556" t="s">
        <v>95</v>
      </c>
      <c r="E556" t="s">
        <v>1037</v>
      </c>
      <c r="F556">
        <v>2093</v>
      </c>
      <c r="G556" t="s">
        <v>1182</v>
      </c>
      <c r="I556" t="s">
        <v>1299</v>
      </c>
      <c r="J556">
        <v>3</v>
      </c>
      <c r="K556">
        <v>1</v>
      </c>
      <c r="L556">
        <v>1</v>
      </c>
      <c r="M556" t="s">
        <v>1302</v>
      </c>
      <c r="N556">
        <v>78000</v>
      </c>
      <c r="O556">
        <v>11435</v>
      </c>
      <c r="P556" t="s">
        <v>1308</v>
      </c>
      <c r="Q556" t="s">
        <v>1317</v>
      </c>
      <c r="S556" t="s">
        <v>1338</v>
      </c>
      <c r="AA556">
        <v>0</v>
      </c>
      <c r="AB556">
        <v>0</v>
      </c>
      <c r="AD556">
        <v>0</v>
      </c>
      <c r="AE556">
        <v>0</v>
      </c>
      <c r="AF556">
        <v>0</v>
      </c>
      <c r="AG556">
        <v>0</v>
      </c>
    </row>
    <row r="557" spans="1:33">
      <c r="A557" s="1">
        <f>HYPERLINK("https://lsnyc.legalserver.org/matter/dynamic-profile/view/1886897","19-1886897")</f>
        <v>0</v>
      </c>
      <c r="B557" t="s">
        <v>36</v>
      </c>
      <c r="C557" t="s">
        <v>59</v>
      </c>
      <c r="D557" t="s">
        <v>503</v>
      </c>
      <c r="E557" t="s">
        <v>1038</v>
      </c>
      <c r="F557">
        <v>2094</v>
      </c>
      <c r="G557" t="s">
        <v>1207</v>
      </c>
      <c r="I557" t="s">
        <v>1299</v>
      </c>
      <c r="J557">
        <v>4</v>
      </c>
      <c r="K557">
        <v>0</v>
      </c>
      <c r="L557">
        <v>0</v>
      </c>
      <c r="M557" t="s">
        <v>1302</v>
      </c>
      <c r="N557">
        <v>86400</v>
      </c>
      <c r="O557">
        <v>10453</v>
      </c>
      <c r="P557" t="s">
        <v>1310</v>
      </c>
      <c r="Q557" t="s">
        <v>1315</v>
      </c>
      <c r="R557" t="s">
        <v>1319</v>
      </c>
      <c r="S557" t="s">
        <v>1332</v>
      </c>
      <c r="W557" t="s">
        <v>1361</v>
      </c>
      <c r="AA557">
        <v>0</v>
      </c>
      <c r="AB557">
        <v>0</v>
      </c>
      <c r="AD557">
        <v>0</v>
      </c>
      <c r="AE557">
        <v>0</v>
      </c>
      <c r="AF557">
        <v>0</v>
      </c>
      <c r="AG557">
        <v>0</v>
      </c>
    </row>
    <row r="558" spans="1:33">
      <c r="A558" s="1">
        <f>HYPERLINK("https://lsnyc.legalserver.org/matter/dynamic-profile/view/1888306","19-1888306")</f>
        <v>0</v>
      </c>
      <c r="B558" t="s">
        <v>36</v>
      </c>
      <c r="C558" t="s">
        <v>52</v>
      </c>
      <c r="D558" t="s">
        <v>504</v>
      </c>
      <c r="E558" t="s">
        <v>1039</v>
      </c>
      <c r="F558">
        <v>2094</v>
      </c>
      <c r="G558" t="s">
        <v>1237</v>
      </c>
      <c r="I558" t="s">
        <v>1299</v>
      </c>
      <c r="J558">
        <v>2</v>
      </c>
      <c r="K558">
        <v>2</v>
      </c>
      <c r="L558">
        <v>0</v>
      </c>
      <c r="M558" t="s">
        <v>1301</v>
      </c>
      <c r="N558">
        <v>85046</v>
      </c>
      <c r="O558">
        <v>10465</v>
      </c>
      <c r="P558" t="s">
        <v>1310</v>
      </c>
      <c r="Q558" t="s">
        <v>1320</v>
      </c>
      <c r="S558" t="s">
        <v>1344</v>
      </c>
      <c r="T558" t="s">
        <v>1336</v>
      </c>
      <c r="W558" t="s">
        <v>1365</v>
      </c>
      <c r="AA558">
        <v>0</v>
      </c>
      <c r="AB558">
        <v>0</v>
      </c>
      <c r="AD558">
        <v>0</v>
      </c>
      <c r="AE558">
        <v>0</v>
      </c>
      <c r="AF558">
        <v>0</v>
      </c>
      <c r="AG558">
        <v>0</v>
      </c>
    </row>
    <row r="559" spans="1:33">
      <c r="A559" s="1">
        <f>HYPERLINK("https://lsnyc.legalserver.org/matter/dynamic-profile/view/1888853","19-1888853")</f>
        <v>0</v>
      </c>
      <c r="B559" t="s">
        <v>36</v>
      </c>
      <c r="C559" t="s">
        <v>58</v>
      </c>
      <c r="D559" t="s">
        <v>169</v>
      </c>
      <c r="E559" t="s">
        <v>1040</v>
      </c>
      <c r="F559">
        <v>2094</v>
      </c>
      <c r="G559" t="s">
        <v>1179</v>
      </c>
      <c r="I559" t="s">
        <v>1299</v>
      </c>
      <c r="J559">
        <v>2</v>
      </c>
      <c r="K559">
        <v>0</v>
      </c>
      <c r="L559">
        <v>0</v>
      </c>
      <c r="M559" t="s">
        <v>1302</v>
      </c>
      <c r="N559">
        <v>81000</v>
      </c>
      <c r="O559">
        <v>10462</v>
      </c>
      <c r="P559" t="s">
        <v>1310</v>
      </c>
      <c r="Q559" t="s">
        <v>1318</v>
      </c>
      <c r="S559" t="s">
        <v>1332</v>
      </c>
      <c r="W559" t="s">
        <v>1361</v>
      </c>
      <c r="AA559">
        <v>0</v>
      </c>
      <c r="AB559">
        <v>0</v>
      </c>
      <c r="AD559">
        <v>0</v>
      </c>
      <c r="AE559">
        <v>0</v>
      </c>
      <c r="AF559">
        <v>0</v>
      </c>
      <c r="AG559">
        <v>0</v>
      </c>
    </row>
    <row r="560" spans="1:33">
      <c r="A560" s="1">
        <f>HYPERLINK("https://lsnyc.legalserver.org/matter/dynamic-profile/view/1889013","19-1889013")</f>
        <v>0</v>
      </c>
      <c r="B560" t="s">
        <v>34</v>
      </c>
      <c r="C560" t="s">
        <v>39</v>
      </c>
      <c r="D560" t="s">
        <v>505</v>
      </c>
      <c r="E560" t="s">
        <v>1041</v>
      </c>
      <c r="F560">
        <v>2093</v>
      </c>
      <c r="G560" t="s">
        <v>1178</v>
      </c>
      <c r="H560" t="s">
        <v>1295</v>
      </c>
      <c r="I560" t="s">
        <v>1299</v>
      </c>
      <c r="J560">
        <v>4</v>
      </c>
      <c r="K560">
        <v>0</v>
      </c>
      <c r="L560">
        <v>0</v>
      </c>
      <c r="M560" t="s">
        <v>1301</v>
      </c>
      <c r="N560">
        <v>76000</v>
      </c>
      <c r="O560">
        <v>11426</v>
      </c>
      <c r="P560" t="s">
        <v>1308</v>
      </c>
      <c r="Q560" t="s">
        <v>1316</v>
      </c>
      <c r="S560" t="s">
        <v>1337</v>
      </c>
      <c r="W560" t="s">
        <v>1366</v>
      </c>
      <c r="AA560">
        <v>0</v>
      </c>
      <c r="AB560">
        <v>0</v>
      </c>
      <c r="AD560">
        <v>0</v>
      </c>
      <c r="AE560">
        <v>0</v>
      </c>
      <c r="AF560">
        <v>0</v>
      </c>
      <c r="AG560">
        <v>0</v>
      </c>
    </row>
    <row r="561" spans="1:33">
      <c r="A561" s="1">
        <f>HYPERLINK("https://lsnyc.legalserver.org/matter/dynamic-profile/view/1889533","19-1889533")</f>
        <v>0</v>
      </c>
      <c r="B561" t="s">
        <v>36</v>
      </c>
      <c r="C561" t="s">
        <v>41</v>
      </c>
      <c r="D561" t="s">
        <v>506</v>
      </c>
      <c r="E561" t="s">
        <v>1042</v>
      </c>
      <c r="F561">
        <v>2094</v>
      </c>
      <c r="G561" t="s">
        <v>1185</v>
      </c>
      <c r="I561" t="s">
        <v>1299</v>
      </c>
      <c r="J561">
        <v>3</v>
      </c>
      <c r="K561">
        <v>1</v>
      </c>
      <c r="L561">
        <v>0</v>
      </c>
      <c r="M561" t="s">
        <v>1304</v>
      </c>
      <c r="N561">
        <v>131980</v>
      </c>
      <c r="O561">
        <v>10472</v>
      </c>
      <c r="P561" t="s">
        <v>1310</v>
      </c>
      <c r="Q561" t="s">
        <v>1315</v>
      </c>
      <c r="S561" t="s">
        <v>1332</v>
      </c>
      <c r="T561" t="s">
        <v>1333</v>
      </c>
      <c r="W561" t="s">
        <v>1361</v>
      </c>
      <c r="Y561" t="s">
        <v>1366</v>
      </c>
      <c r="AA561">
        <v>0</v>
      </c>
      <c r="AB561">
        <v>0</v>
      </c>
      <c r="AD561">
        <v>0</v>
      </c>
      <c r="AE561">
        <v>0</v>
      </c>
      <c r="AF561">
        <v>0</v>
      </c>
      <c r="AG561">
        <v>0</v>
      </c>
    </row>
    <row r="562" spans="1:33">
      <c r="A562" s="1">
        <f>HYPERLINK("https://lsnyc.legalserver.org/matter/dynamic-profile/view/1889744","19-1889744")</f>
        <v>0</v>
      </c>
      <c r="B562" t="s">
        <v>33</v>
      </c>
      <c r="C562" t="s">
        <v>53</v>
      </c>
      <c r="D562" t="s">
        <v>504</v>
      </c>
      <c r="E562" t="s">
        <v>1043</v>
      </c>
      <c r="F562">
        <v>2090</v>
      </c>
      <c r="G562" t="s">
        <v>1207</v>
      </c>
      <c r="I562" t="s">
        <v>1299</v>
      </c>
      <c r="J562">
        <v>5</v>
      </c>
      <c r="K562">
        <v>0</v>
      </c>
      <c r="L562">
        <v>0</v>
      </c>
      <c r="N562">
        <v>68400</v>
      </c>
      <c r="O562">
        <v>10312</v>
      </c>
      <c r="P562" t="s">
        <v>1307</v>
      </c>
      <c r="Q562" t="s">
        <v>1315</v>
      </c>
      <c r="S562" t="s">
        <v>1333</v>
      </c>
      <c r="T562" t="s">
        <v>1340</v>
      </c>
      <c r="W562" t="s">
        <v>1366</v>
      </c>
      <c r="AA562">
        <v>0</v>
      </c>
      <c r="AB562">
        <v>0</v>
      </c>
      <c r="AD562">
        <v>0</v>
      </c>
      <c r="AE562">
        <v>0</v>
      </c>
      <c r="AF562">
        <v>0</v>
      </c>
      <c r="AG562">
        <v>0</v>
      </c>
    </row>
    <row r="563" spans="1:33">
      <c r="A563" s="1">
        <f>HYPERLINK("https://lsnyc.legalserver.org/matter/dynamic-profile/view/1890303","19-1890303")</f>
        <v>0</v>
      </c>
      <c r="B563" t="s">
        <v>36</v>
      </c>
      <c r="C563" t="s">
        <v>59</v>
      </c>
      <c r="D563" t="s">
        <v>507</v>
      </c>
      <c r="E563" t="s">
        <v>1044</v>
      </c>
      <c r="F563">
        <v>2094</v>
      </c>
      <c r="G563" t="s">
        <v>1192</v>
      </c>
      <c r="I563" t="s">
        <v>1299</v>
      </c>
      <c r="J563">
        <v>3</v>
      </c>
      <c r="K563">
        <v>0</v>
      </c>
      <c r="L563">
        <v>1</v>
      </c>
      <c r="M563" t="s">
        <v>1306</v>
      </c>
      <c r="N563">
        <v>50316</v>
      </c>
      <c r="O563">
        <v>10472</v>
      </c>
      <c r="P563" t="s">
        <v>1310</v>
      </c>
      <c r="Q563" t="s">
        <v>1321</v>
      </c>
      <c r="S563" t="s">
        <v>1332</v>
      </c>
      <c r="AA563">
        <v>0</v>
      </c>
      <c r="AB563">
        <v>0</v>
      </c>
      <c r="AD563">
        <v>0</v>
      </c>
      <c r="AE563">
        <v>0</v>
      </c>
      <c r="AF563">
        <v>0</v>
      </c>
      <c r="AG563">
        <v>0</v>
      </c>
    </row>
    <row r="564" spans="1:33">
      <c r="A564" s="1">
        <f>HYPERLINK("https://lsnyc.legalserver.org/matter/dynamic-profile/view/1890549","19-1890549")</f>
        <v>0</v>
      </c>
      <c r="B564" t="s">
        <v>35</v>
      </c>
      <c r="C564" t="s">
        <v>40</v>
      </c>
      <c r="D564" t="s">
        <v>508</v>
      </c>
      <c r="E564" t="s">
        <v>1045</v>
      </c>
      <c r="F564">
        <v>2091</v>
      </c>
      <c r="G564" t="s">
        <v>1272</v>
      </c>
      <c r="I564" t="s">
        <v>1299</v>
      </c>
      <c r="J564">
        <v>1</v>
      </c>
      <c r="K564">
        <v>0</v>
      </c>
      <c r="L564">
        <v>1</v>
      </c>
      <c r="M564" t="s">
        <v>1302</v>
      </c>
      <c r="N564">
        <v>21408</v>
      </c>
      <c r="O564">
        <v>11208</v>
      </c>
      <c r="P564" t="s">
        <v>1309</v>
      </c>
      <c r="Q564" t="s">
        <v>1324</v>
      </c>
      <c r="R564" t="s">
        <v>1320</v>
      </c>
      <c r="S564" t="s">
        <v>1334</v>
      </c>
      <c r="T564" t="s">
        <v>1336</v>
      </c>
      <c r="W564" t="s">
        <v>1366</v>
      </c>
      <c r="AA564">
        <v>0</v>
      </c>
      <c r="AB564">
        <v>0</v>
      </c>
      <c r="AD564">
        <v>0</v>
      </c>
      <c r="AE564">
        <v>0</v>
      </c>
      <c r="AF564">
        <v>0</v>
      </c>
      <c r="AG564">
        <v>0</v>
      </c>
    </row>
    <row r="565" spans="1:33">
      <c r="A565" s="1">
        <f>HYPERLINK("https://lsnyc.legalserver.org/matter/dynamic-profile/view/1890889","19-1890889")</f>
        <v>0</v>
      </c>
      <c r="B565" t="s">
        <v>36</v>
      </c>
      <c r="C565" t="s">
        <v>59</v>
      </c>
      <c r="D565" t="s">
        <v>509</v>
      </c>
      <c r="E565" t="s">
        <v>1046</v>
      </c>
      <c r="F565">
        <v>2094</v>
      </c>
      <c r="G565" t="s">
        <v>1225</v>
      </c>
      <c r="H565" t="s">
        <v>1214</v>
      </c>
      <c r="I565" t="s">
        <v>1299</v>
      </c>
      <c r="J565">
        <v>3</v>
      </c>
      <c r="K565">
        <v>1</v>
      </c>
      <c r="L565">
        <v>0</v>
      </c>
      <c r="M565" t="s">
        <v>1301</v>
      </c>
      <c r="N565">
        <v>70704</v>
      </c>
      <c r="O565">
        <v>10465</v>
      </c>
      <c r="P565" t="s">
        <v>1310</v>
      </c>
      <c r="Q565" t="s">
        <v>1314</v>
      </c>
      <c r="R565" t="s">
        <v>1315</v>
      </c>
      <c r="S565" t="s">
        <v>1336</v>
      </c>
      <c r="T565" t="s">
        <v>1340</v>
      </c>
      <c r="U565" t="s">
        <v>1353</v>
      </c>
      <c r="W565" t="s">
        <v>1366</v>
      </c>
      <c r="AA565">
        <v>2575</v>
      </c>
      <c r="AB565">
        <v>0</v>
      </c>
      <c r="AD565">
        <v>0</v>
      </c>
      <c r="AE565">
        <v>0</v>
      </c>
      <c r="AF565">
        <v>0</v>
      </c>
      <c r="AG565">
        <v>0</v>
      </c>
    </row>
    <row r="566" spans="1:33">
      <c r="A566" s="1">
        <f>HYPERLINK("https://lsnyc.legalserver.org/matter/dynamic-profile/view/1891525","19-1891525")</f>
        <v>0</v>
      </c>
      <c r="B566" t="s">
        <v>36</v>
      </c>
      <c r="C566" t="s">
        <v>59</v>
      </c>
      <c r="D566" t="s">
        <v>510</v>
      </c>
      <c r="E566" t="s">
        <v>1043</v>
      </c>
      <c r="F566">
        <v>2094</v>
      </c>
      <c r="G566" t="s">
        <v>1206</v>
      </c>
      <c r="I566" t="s">
        <v>1299</v>
      </c>
      <c r="J566">
        <v>4</v>
      </c>
      <c r="K566">
        <v>1</v>
      </c>
      <c r="L566">
        <v>0</v>
      </c>
      <c r="M566" t="s">
        <v>1303</v>
      </c>
      <c r="N566">
        <v>78720</v>
      </c>
      <c r="O566">
        <v>10456</v>
      </c>
      <c r="P566" t="s">
        <v>1310</v>
      </c>
      <c r="Q566" t="s">
        <v>1320</v>
      </c>
      <c r="S566" t="s">
        <v>1332</v>
      </c>
      <c r="T566" t="s">
        <v>1333</v>
      </c>
      <c r="U566" t="s">
        <v>1353</v>
      </c>
      <c r="W566" t="s">
        <v>1361</v>
      </c>
      <c r="AA566">
        <v>1625</v>
      </c>
      <c r="AB566">
        <v>0</v>
      </c>
      <c r="AD566">
        <v>0</v>
      </c>
      <c r="AE566">
        <v>0</v>
      </c>
      <c r="AF566">
        <v>0</v>
      </c>
      <c r="AG566">
        <v>0</v>
      </c>
    </row>
    <row r="567" spans="1:33">
      <c r="A567" s="1">
        <f>HYPERLINK("https://lsnyc.legalserver.org/matter/dynamic-profile/view/1891667","19-1891667")</f>
        <v>0</v>
      </c>
      <c r="B567" t="s">
        <v>36</v>
      </c>
      <c r="C567" t="s">
        <v>58</v>
      </c>
      <c r="D567" t="s">
        <v>493</v>
      </c>
      <c r="E567" t="s">
        <v>1047</v>
      </c>
      <c r="F567">
        <v>2094</v>
      </c>
      <c r="G567" t="s">
        <v>1186</v>
      </c>
      <c r="I567" t="s">
        <v>1299</v>
      </c>
      <c r="J567">
        <v>2</v>
      </c>
      <c r="K567">
        <v>1</v>
      </c>
      <c r="L567">
        <v>0</v>
      </c>
      <c r="M567" t="s">
        <v>1301</v>
      </c>
      <c r="N567">
        <v>82332.38</v>
      </c>
      <c r="O567">
        <v>10463</v>
      </c>
      <c r="P567" t="s">
        <v>1310</v>
      </c>
      <c r="Q567" t="s">
        <v>1320</v>
      </c>
      <c r="S567" t="s">
        <v>1332</v>
      </c>
      <c r="W567" t="s">
        <v>1361</v>
      </c>
      <c r="AA567">
        <v>0</v>
      </c>
      <c r="AB567">
        <v>0</v>
      </c>
      <c r="AD567">
        <v>0</v>
      </c>
      <c r="AE567">
        <v>0</v>
      </c>
      <c r="AF567">
        <v>0</v>
      </c>
      <c r="AG567">
        <v>0</v>
      </c>
    </row>
    <row r="568" spans="1:33">
      <c r="A568" s="1">
        <f>HYPERLINK("https://lsnyc.legalserver.org/matter/dynamic-profile/view/1892206","19-1892206")</f>
        <v>0</v>
      </c>
      <c r="B568" t="s">
        <v>36</v>
      </c>
      <c r="C568" t="s">
        <v>41</v>
      </c>
      <c r="D568" t="s">
        <v>117</v>
      </c>
      <c r="E568" t="s">
        <v>1048</v>
      </c>
      <c r="F568">
        <v>2094</v>
      </c>
      <c r="H568" t="s">
        <v>1199</v>
      </c>
      <c r="I568" t="s">
        <v>1299</v>
      </c>
      <c r="J568">
        <v>4</v>
      </c>
      <c r="K568">
        <v>0</v>
      </c>
      <c r="L568">
        <v>0</v>
      </c>
      <c r="M568" t="s">
        <v>1302</v>
      </c>
      <c r="N568">
        <v>0</v>
      </c>
      <c r="O568">
        <v>10455</v>
      </c>
      <c r="P568" t="s">
        <v>1310</v>
      </c>
      <c r="Q568" t="s">
        <v>1319</v>
      </c>
      <c r="S568" t="s">
        <v>1332</v>
      </c>
      <c r="T568" t="s">
        <v>1333</v>
      </c>
      <c r="W568" t="s">
        <v>1362</v>
      </c>
      <c r="Y568" t="s">
        <v>1380</v>
      </c>
      <c r="AA568">
        <v>0</v>
      </c>
      <c r="AB568">
        <v>0</v>
      </c>
      <c r="AD568">
        <v>0</v>
      </c>
      <c r="AE568">
        <v>0</v>
      </c>
      <c r="AF568">
        <v>0</v>
      </c>
      <c r="AG568">
        <v>0</v>
      </c>
    </row>
    <row r="569" spans="1:33">
      <c r="A569" s="1">
        <f>HYPERLINK("https://lsnyc.legalserver.org/matter/dynamic-profile/view/1891247","19-1891247")</f>
        <v>0</v>
      </c>
      <c r="B569" t="s">
        <v>33</v>
      </c>
      <c r="C569" t="s">
        <v>38</v>
      </c>
      <c r="D569" t="s">
        <v>180</v>
      </c>
      <c r="E569" t="s">
        <v>608</v>
      </c>
      <c r="F569">
        <v>2090</v>
      </c>
      <c r="G569" t="s">
        <v>1225</v>
      </c>
      <c r="I569" t="s">
        <v>1299</v>
      </c>
      <c r="J569">
        <v>2</v>
      </c>
      <c r="K569">
        <v>2</v>
      </c>
      <c r="L569">
        <v>0</v>
      </c>
      <c r="N569">
        <v>50000</v>
      </c>
      <c r="O569">
        <v>10303</v>
      </c>
      <c r="P569" t="s">
        <v>1307</v>
      </c>
      <c r="Q569" t="s">
        <v>1321</v>
      </c>
      <c r="R569" t="s">
        <v>1320</v>
      </c>
      <c r="S569" t="s">
        <v>1336</v>
      </c>
      <c r="W569" t="s">
        <v>1366</v>
      </c>
      <c r="AA569">
        <v>0</v>
      </c>
      <c r="AB569">
        <v>0</v>
      </c>
      <c r="AD569">
        <v>0</v>
      </c>
      <c r="AE569">
        <v>0</v>
      </c>
      <c r="AF569">
        <v>0</v>
      </c>
      <c r="AG569">
        <v>0</v>
      </c>
    </row>
    <row r="570" spans="1:33">
      <c r="A570" s="1">
        <f>HYPERLINK("https://lsnyc.legalserver.org/matter/dynamic-profile/view/1892668","19-1892668")</f>
        <v>0</v>
      </c>
      <c r="B570" t="s">
        <v>35</v>
      </c>
      <c r="C570" t="s">
        <v>67</v>
      </c>
      <c r="D570" t="s">
        <v>511</v>
      </c>
      <c r="E570" t="s">
        <v>1049</v>
      </c>
      <c r="F570">
        <v>2091</v>
      </c>
      <c r="I570" t="s">
        <v>1299</v>
      </c>
      <c r="J570">
        <v>3</v>
      </c>
      <c r="K570">
        <v>0</v>
      </c>
      <c r="L570">
        <v>0</v>
      </c>
      <c r="M570" t="s">
        <v>1302</v>
      </c>
      <c r="N570">
        <v>63500</v>
      </c>
      <c r="O570">
        <v>11208</v>
      </c>
      <c r="P570" t="s">
        <v>1309</v>
      </c>
      <c r="Q570" t="s">
        <v>1322</v>
      </c>
      <c r="S570" t="s">
        <v>1338</v>
      </c>
      <c r="AA570">
        <v>0</v>
      </c>
      <c r="AB570">
        <v>0</v>
      </c>
      <c r="AD570">
        <v>0</v>
      </c>
      <c r="AE570">
        <v>0</v>
      </c>
      <c r="AF570">
        <v>0</v>
      </c>
      <c r="AG570">
        <v>0</v>
      </c>
    </row>
    <row r="571" spans="1:33">
      <c r="A571" s="1">
        <f>HYPERLINK("https://lsnyc.legalserver.org/matter/dynamic-profile/view/1892674","19-1892674")</f>
        <v>0</v>
      </c>
      <c r="B571" t="s">
        <v>33</v>
      </c>
      <c r="C571" t="s">
        <v>56</v>
      </c>
      <c r="D571" t="s">
        <v>512</v>
      </c>
      <c r="E571" t="s">
        <v>1050</v>
      </c>
      <c r="F571">
        <v>2090</v>
      </c>
      <c r="G571" t="s">
        <v>1199</v>
      </c>
      <c r="I571" t="s">
        <v>1299</v>
      </c>
      <c r="J571">
        <v>2</v>
      </c>
      <c r="K571">
        <v>7</v>
      </c>
      <c r="L571">
        <v>0</v>
      </c>
      <c r="M571" t="s">
        <v>1302</v>
      </c>
      <c r="N571">
        <v>52020</v>
      </c>
      <c r="O571">
        <v>10314</v>
      </c>
      <c r="P571" t="s">
        <v>1307</v>
      </c>
      <c r="Q571" t="s">
        <v>1328</v>
      </c>
      <c r="S571" t="s">
        <v>1336</v>
      </c>
      <c r="W571" t="s">
        <v>1366</v>
      </c>
      <c r="AA571">
        <v>0</v>
      </c>
      <c r="AB571">
        <v>0</v>
      </c>
      <c r="AD571">
        <v>0</v>
      </c>
      <c r="AE571">
        <v>0</v>
      </c>
      <c r="AF571">
        <v>0</v>
      </c>
      <c r="AG571">
        <v>0</v>
      </c>
    </row>
    <row r="572" spans="1:33">
      <c r="A572" s="1">
        <f>HYPERLINK("https://lsnyc.legalserver.org/matter/dynamic-profile/view/1894453","19-1894453")</f>
        <v>0</v>
      </c>
      <c r="B572" t="s">
        <v>34</v>
      </c>
      <c r="C572" t="s">
        <v>42</v>
      </c>
      <c r="D572" t="s">
        <v>203</v>
      </c>
      <c r="E572" t="s">
        <v>1051</v>
      </c>
      <c r="F572">
        <v>2093</v>
      </c>
      <c r="G572" t="s">
        <v>1278</v>
      </c>
      <c r="I572" t="s">
        <v>1299</v>
      </c>
      <c r="J572">
        <v>3</v>
      </c>
      <c r="K572">
        <v>0</v>
      </c>
      <c r="L572">
        <v>0</v>
      </c>
      <c r="M572" t="s">
        <v>1301</v>
      </c>
      <c r="N572">
        <v>38200</v>
      </c>
      <c r="O572">
        <v>11419</v>
      </c>
      <c r="P572" t="s">
        <v>1308</v>
      </c>
      <c r="Q572" t="s">
        <v>1317</v>
      </c>
      <c r="S572" t="s">
        <v>1338</v>
      </c>
      <c r="AA572">
        <v>0</v>
      </c>
      <c r="AB572">
        <v>0</v>
      </c>
      <c r="AD572">
        <v>0</v>
      </c>
      <c r="AE572">
        <v>0</v>
      </c>
      <c r="AF572">
        <v>0</v>
      </c>
      <c r="AG572">
        <v>0</v>
      </c>
    </row>
    <row r="573" spans="1:33">
      <c r="A573" s="1">
        <f>HYPERLINK("https://lsnyc.legalserver.org/matter/dynamic-profile/view/1894570","19-1894570")</f>
        <v>0</v>
      </c>
      <c r="B573" t="s">
        <v>36</v>
      </c>
      <c r="C573" t="s">
        <v>59</v>
      </c>
      <c r="D573" t="s">
        <v>270</v>
      </c>
      <c r="E573" t="s">
        <v>686</v>
      </c>
      <c r="F573">
        <v>2094</v>
      </c>
      <c r="G573" t="s">
        <v>1206</v>
      </c>
      <c r="I573" t="s">
        <v>1299</v>
      </c>
      <c r="J573">
        <v>2</v>
      </c>
      <c r="K573">
        <v>0</v>
      </c>
      <c r="L573">
        <v>0</v>
      </c>
      <c r="M573" t="s">
        <v>1301</v>
      </c>
      <c r="N573">
        <v>115000</v>
      </c>
      <c r="O573">
        <v>10466</v>
      </c>
      <c r="P573" t="s">
        <v>1310</v>
      </c>
      <c r="Q573" t="s">
        <v>1326</v>
      </c>
      <c r="S573" t="s">
        <v>1332</v>
      </c>
      <c r="T573" t="s">
        <v>1336</v>
      </c>
      <c r="W573" t="s">
        <v>1361</v>
      </c>
      <c r="Y573" t="s">
        <v>1366</v>
      </c>
      <c r="AA573">
        <v>0</v>
      </c>
      <c r="AB573">
        <v>0</v>
      </c>
      <c r="AD573">
        <v>0</v>
      </c>
      <c r="AE573">
        <v>0</v>
      </c>
      <c r="AF573">
        <v>0</v>
      </c>
      <c r="AG573">
        <v>0</v>
      </c>
    </row>
    <row r="574" spans="1:33">
      <c r="A574" s="1">
        <f>HYPERLINK("https://lsnyc.legalserver.org/matter/dynamic-profile/view/1894882","19-1894882")</f>
        <v>0</v>
      </c>
      <c r="B574" t="s">
        <v>33</v>
      </c>
      <c r="C574" t="s">
        <v>38</v>
      </c>
      <c r="D574" t="s">
        <v>513</v>
      </c>
      <c r="E574" t="s">
        <v>1052</v>
      </c>
      <c r="F574">
        <v>2090</v>
      </c>
      <c r="G574" t="s">
        <v>1208</v>
      </c>
      <c r="I574" t="s">
        <v>1299</v>
      </c>
      <c r="J574">
        <v>1</v>
      </c>
      <c r="K574">
        <v>2</v>
      </c>
      <c r="L574">
        <v>0</v>
      </c>
      <c r="M574" t="s">
        <v>1302</v>
      </c>
      <c r="N574">
        <v>51996</v>
      </c>
      <c r="O574">
        <v>10310</v>
      </c>
      <c r="P574" t="s">
        <v>1307</v>
      </c>
      <c r="Q574" t="s">
        <v>1319</v>
      </c>
      <c r="R574" t="s">
        <v>1314</v>
      </c>
      <c r="S574" t="s">
        <v>1332</v>
      </c>
      <c r="T574" t="s">
        <v>1333</v>
      </c>
      <c r="W574" t="s">
        <v>1361</v>
      </c>
      <c r="AA574">
        <v>0</v>
      </c>
      <c r="AB574">
        <v>0</v>
      </c>
      <c r="AD574">
        <v>0</v>
      </c>
      <c r="AE574">
        <v>0</v>
      </c>
      <c r="AF574">
        <v>0</v>
      </c>
      <c r="AG574">
        <v>0</v>
      </c>
    </row>
    <row r="575" spans="1:33">
      <c r="A575" s="1">
        <f>HYPERLINK("https://lsnyc.legalserver.org/matter/dynamic-profile/view/1894997","19-1894997")</f>
        <v>0</v>
      </c>
      <c r="B575" t="s">
        <v>33</v>
      </c>
      <c r="C575" t="s">
        <v>56</v>
      </c>
      <c r="D575" t="s">
        <v>278</v>
      </c>
      <c r="E575" t="s">
        <v>1015</v>
      </c>
      <c r="F575">
        <v>2090</v>
      </c>
      <c r="I575" t="s">
        <v>1299</v>
      </c>
      <c r="J575">
        <v>3</v>
      </c>
      <c r="K575">
        <v>1</v>
      </c>
      <c r="L575">
        <v>0</v>
      </c>
      <c r="M575" t="s">
        <v>1301</v>
      </c>
      <c r="N575">
        <v>38264</v>
      </c>
      <c r="O575">
        <v>10301</v>
      </c>
      <c r="P575" t="s">
        <v>1307</v>
      </c>
      <c r="Q575" t="s">
        <v>1323</v>
      </c>
      <c r="S575" t="s">
        <v>1334</v>
      </c>
      <c r="T575" t="s">
        <v>1339</v>
      </c>
      <c r="AA575">
        <v>0</v>
      </c>
      <c r="AB575">
        <v>0</v>
      </c>
      <c r="AD575">
        <v>0</v>
      </c>
      <c r="AE575">
        <v>0</v>
      </c>
      <c r="AF575">
        <v>0</v>
      </c>
      <c r="AG575">
        <v>0</v>
      </c>
    </row>
    <row r="576" spans="1:33">
      <c r="A576" s="1">
        <f>HYPERLINK("https://lsnyc.legalserver.org/matter/dynamic-profile/view/1894970","19-1894970")</f>
        <v>0</v>
      </c>
      <c r="B576" t="s">
        <v>33</v>
      </c>
      <c r="C576" t="s">
        <v>53</v>
      </c>
      <c r="D576" t="s">
        <v>514</v>
      </c>
      <c r="E576" t="s">
        <v>1053</v>
      </c>
      <c r="F576">
        <v>2090</v>
      </c>
      <c r="G576" t="s">
        <v>1207</v>
      </c>
      <c r="I576" t="s">
        <v>1299</v>
      </c>
      <c r="J576">
        <v>2</v>
      </c>
      <c r="K576">
        <v>3</v>
      </c>
      <c r="L576">
        <v>0</v>
      </c>
      <c r="N576">
        <v>96000</v>
      </c>
      <c r="O576">
        <v>10304</v>
      </c>
      <c r="P576" t="s">
        <v>1307</v>
      </c>
      <c r="Q576" t="s">
        <v>1315</v>
      </c>
      <c r="S576" t="s">
        <v>1333</v>
      </c>
      <c r="T576" t="s">
        <v>1332</v>
      </c>
      <c r="W576" t="s">
        <v>1361</v>
      </c>
      <c r="AA576">
        <v>0</v>
      </c>
      <c r="AB576">
        <v>0</v>
      </c>
      <c r="AD576">
        <v>0</v>
      </c>
      <c r="AE576">
        <v>0</v>
      </c>
      <c r="AF576">
        <v>0</v>
      </c>
      <c r="AG576">
        <v>0</v>
      </c>
    </row>
    <row r="577" spans="1:33">
      <c r="A577" s="1">
        <f>HYPERLINK("https://lsnyc.legalserver.org/matter/dynamic-profile/view/1895271","19-1895271")</f>
        <v>0</v>
      </c>
      <c r="B577" t="s">
        <v>35</v>
      </c>
      <c r="C577" t="s">
        <v>40</v>
      </c>
      <c r="D577" t="s">
        <v>515</v>
      </c>
      <c r="E577" t="s">
        <v>1054</v>
      </c>
      <c r="F577">
        <v>2091</v>
      </c>
      <c r="G577" t="s">
        <v>1192</v>
      </c>
      <c r="H577" t="s">
        <v>1192</v>
      </c>
      <c r="I577" t="s">
        <v>1299</v>
      </c>
      <c r="J577">
        <v>3</v>
      </c>
      <c r="K577">
        <v>2</v>
      </c>
      <c r="L577">
        <v>1</v>
      </c>
      <c r="M577" t="s">
        <v>1302</v>
      </c>
      <c r="N577">
        <v>152400</v>
      </c>
      <c r="O577">
        <v>20814</v>
      </c>
      <c r="P577" t="s">
        <v>1309</v>
      </c>
      <c r="Q577" t="s">
        <v>1328</v>
      </c>
      <c r="S577" t="s">
        <v>1337</v>
      </c>
      <c r="AA577">
        <v>0</v>
      </c>
      <c r="AB577">
        <v>0</v>
      </c>
      <c r="AD577">
        <v>0</v>
      </c>
      <c r="AE577">
        <v>0</v>
      </c>
      <c r="AF577">
        <v>0</v>
      </c>
      <c r="AG577">
        <v>0</v>
      </c>
    </row>
    <row r="578" spans="1:33">
      <c r="A578" s="1">
        <f>HYPERLINK("https://lsnyc.legalserver.org/matter/dynamic-profile/view/1896210","19-1896210")</f>
        <v>0</v>
      </c>
      <c r="B578" t="s">
        <v>34</v>
      </c>
      <c r="C578" t="s">
        <v>64</v>
      </c>
      <c r="D578" t="s">
        <v>389</v>
      </c>
      <c r="E578" t="s">
        <v>929</v>
      </c>
      <c r="F578">
        <v>2093</v>
      </c>
      <c r="G578" t="s">
        <v>1224</v>
      </c>
      <c r="I578" t="s">
        <v>1299</v>
      </c>
      <c r="J578">
        <v>3</v>
      </c>
      <c r="K578">
        <v>0</v>
      </c>
      <c r="L578">
        <v>1</v>
      </c>
      <c r="M578" t="s">
        <v>1305</v>
      </c>
      <c r="N578">
        <v>49159.44</v>
      </c>
      <c r="O578">
        <v>11423</v>
      </c>
      <c r="P578" t="s">
        <v>1308</v>
      </c>
      <c r="Q578" t="s">
        <v>1315</v>
      </c>
      <c r="S578" t="s">
        <v>1338</v>
      </c>
      <c r="U578" t="s">
        <v>1355</v>
      </c>
      <c r="AA578">
        <v>0</v>
      </c>
      <c r="AB578">
        <v>0</v>
      </c>
      <c r="AD578">
        <v>0</v>
      </c>
      <c r="AE578">
        <v>0</v>
      </c>
      <c r="AF578">
        <v>0</v>
      </c>
      <c r="AG578">
        <v>0</v>
      </c>
    </row>
    <row r="579" spans="1:33">
      <c r="A579" s="1">
        <f>HYPERLINK("https://lsnyc.legalserver.org/matter/dynamic-profile/view/1897991","19-1897991")</f>
        <v>0</v>
      </c>
      <c r="B579" t="s">
        <v>36</v>
      </c>
      <c r="C579" t="s">
        <v>58</v>
      </c>
      <c r="D579" t="s">
        <v>516</v>
      </c>
      <c r="E579" t="s">
        <v>1055</v>
      </c>
      <c r="F579">
        <v>2094</v>
      </c>
      <c r="G579" t="s">
        <v>1209</v>
      </c>
      <c r="I579" t="s">
        <v>1299</v>
      </c>
      <c r="J579">
        <v>6</v>
      </c>
      <c r="K579">
        <v>0</v>
      </c>
      <c r="L579">
        <v>0</v>
      </c>
      <c r="M579" t="s">
        <v>1302</v>
      </c>
      <c r="N579">
        <v>48000</v>
      </c>
      <c r="O579">
        <v>10469</v>
      </c>
      <c r="P579" t="s">
        <v>1310</v>
      </c>
      <c r="Q579" t="s">
        <v>1319</v>
      </c>
      <c r="S579" t="s">
        <v>1337</v>
      </c>
      <c r="W579" t="s">
        <v>1366</v>
      </c>
      <c r="AA579">
        <v>0</v>
      </c>
      <c r="AB579">
        <v>0</v>
      </c>
      <c r="AD579">
        <v>0</v>
      </c>
      <c r="AE579">
        <v>0</v>
      </c>
      <c r="AF579">
        <v>0</v>
      </c>
      <c r="AG579">
        <v>0</v>
      </c>
    </row>
    <row r="580" spans="1:33">
      <c r="A580" s="1">
        <f>HYPERLINK("https://lsnyc.legalserver.org/matter/dynamic-profile/view/1899393","19-1899393")</f>
        <v>0</v>
      </c>
      <c r="B580" t="s">
        <v>36</v>
      </c>
      <c r="C580" t="s">
        <v>41</v>
      </c>
      <c r="D580" t="s">
        <v>517</v>
      </c>
      <c r="E580" t="s">
        <v>1056</v>
      </c>
      <c r="F580">
        <v>2094</v>
      </c>
      <c r="G580" t="s">
        <v>1209</v>
      </c>
      <c r="I580" t="s">
        <v>1299</v>
      </c>
      <c r="J580">
        <v>1</v>
      </c>
      <c r="K580">
        <v>0</v>
      </c>
      <c r="L580">
        <v>0</v>
      </c>
      <c r="M580" t="s">
        <v>1303</v>
      </c>
      <c r="N580">
        <v>14216.02</v>
      </c>
      <c r="O580">
        <v>10462</v>
      </c>
      <c r="P580" t="s">
        <v>1310</v>
      </c>
      <c r="Q580" t="s">
        <v>1315</v>
      </c>
      <c r="R580" t="s">
        <v>1326</v>
      </c>
      <c r="S580" t="s">
        <v>1336</v>
      </c>
      <c r="T580" t="s">
        <v>1351</v>
      </c>
      <c r="AA580">
        <v>0</v>
      </c>
      <c r="AB580">
        <v>0</v>
      </c>
      <c r="AD580">
        <v>0</v>
      </c>
      <c r="AE580">
        <v>0</v>
      </c>
      <c r="AF580">
        <v>0</v>
      </c>
      <c r="AG580">
        <v>0</v>
      </c>
    </row>
    <row r="581" spans="1:33">
      <c r="A581" s="1">
        <f>HYPERLINK("https://lsnyc.legalserver.org/matter/dynamic-profile/view/1900339","19-1900339")</f>
        <v>0</v>
      </c>
      <c r="B581" t="s">
        <v>34</v>
      </c>
      <c r="C581" t="s">
        <v>57</v>
      </c>
      <c r="D581" t="s">
        <v>518</v>
      </c>
      <c r="E581" t="s">
        <v>1057</v>
      </c>
      <c r="F581">
        <v>2093</v>
      </c>
      <c r="G581" t="s">
        <v>1282</v>
      </c>
      <c r="I581" t="s">
        <v>1299</v>
      </c>
      <c r="J581">
        <v>1</v>
      </c>
      <c r="K581">
        <v>1</v>
      </c>
      <c r="L581">
        <v>0</v>
      </c>
      <c r="M581" t="s">
        <v>1302</v>
      </c>
      <c r="N581">
        <v>55200</v>
      </c>
      <c r="O581">
        <v>11429</v>
      </c>
      <c r="P581" t="s">
        <v>1308</v>
      </c>
      <c r="Q581" t="s">
        <v>1319</v>
      </c>
      <c r="S581" t="s">
        <v>1338</v>
      </c>
      <c r="AA581">
        <v>0</v>
      </c>
      <c r="AB581">
        <v>0</v>
      </c>
      <c r="AD581">
        <v>0</v>
      </c>
      <c r="AE581">
        <v>0</v>
      </c>
      <c r="AF581">
        <v>0</v>
      </c>
      <c r="AG581">
        <v>0</v>
      </c>
    </row>
    <row r="582" spans="1:33">
      <c r="A582" s="1">
        <f>HYPERLINK("https://lsnyc.legalserver.org/matter/dynamic-profile/view/1901192","19-1901192")</f>
        <v>0</v>
      </c>
      <c r="B582" t="s">
        <v>34</v>
      </c>
      <c r="C582" t="s">
        <v>65</v>
      </c>
      <c r="D582" t="s">
        <v>180</v>
      </c>
      <c r="E582" t="s">
        <v>1058</v>
      </c>
      <c r="F582">
        <v>2093</v>
      </c>
      <c r="G582" t="s">
        <v>1210</v>
      </c>
      <c r="I582" t="s">
        <v>1299</v>
      </c>
      <c r="J582">
        <v>4</v>
      </c>
      <c r="K582">
        <v>0</v>
      </c>
      <c r="L582">
        <v>0</v>
      </c>
      <c r="M582" t="s">
        <v>1302</v>
      </c>
      <c r="N582">
        <v>66632</v>
      </c>
      <c r="O582">
        <v>11422</v>
      </c>
      <c r="P582" t="s">
        <v>1308</v>
      </c>
      <c r="Q582" t="s">
        <v>1319</v>
      </c>
      <c r="S582" t="s">
        <v>1332</v>
      </c>
      <c r="AA582">
        <v>0</v>
      </c>
      <c r="AB582">
        <v>0</v>
      </c>
      <c r="AD582">
        <v>0</v>
      </c>
      <c r="AE582">
        <v>0</v>
      </c>
      <c r="AF582">
        <v>0</v>
      </c>
      <c r="AG582">
        <v>0</v>
      </c>
    </row>
    <row r="583" spans="1:33">
      <c r="A583" s="1">
        <f>HYPERLINK("https://lsnyc.legalserver.org/matter/dynamic-profile/view/1901817","19-1901817")</f>
        <v>0</v>
      </c>
      <c r="B583" t="s">
        <v>34</v>
      </c>
      <c r="C583" t="s">
        <v>49</v>
      </c>
      <c r="D583" t="s">
        <v>519</v>
      </c>
      <c r="E583" t="s">
        <v>1059</v>
      </c>
      <c r="F583">
        <v>2093</v>
      </c>
      <c r="G583" t="s">
        <v>1182</v>
      </c>
      <c r="I583" t="s">
        <v>1299</v>
      </c>
      <c r="J583">
        <v>1</v>
      </c>
      <c r="K583">
        <v>0</v>
      </c>
      <c r="L583">
        <v>0</v>
      </c>
      <c r="M583" t="s">
        <v>1302</v>
      </c>
      <c r="N583">
        <v>24000</v>
      </c>
      <c r="O583">
        <v>11422</v>
      </c>
      <c r="P583" t="s">
        <v>1308</v>
      </c>
      <c r="Q583" t="s">
        <v>1315</v>
      </c>
      <c r="S583" t="s">
        <v>1336</v>
      </c>
      <c r="AA583">
        <v>0</v>
      </c>
      <c r="AB583">
        <v>0</v>
      </c>
      <c r="AD583">
        <v>0</v>
      </c>
      <c r="AE583">
        <v>0</v>
      </c>
      <c r="AF583">
        <v>0</v>
      </c>
      <c r="AG583">
        <v>0</v>
      </c>
    </row>
    <row r="584" spans="1:33">
      <c r="A584" s="1">
        <f>HYPERLINK("https://lsnyc.legalserver.org/matter/dynamic-profile/view/1902840","19-1902840")</f>
        <v>0</v>
      </c>
      <c r="B584" t="s">
        <v>36</v>
      </c>
      <c r="C584" t="s">
        <v>58</v>
      </c>
      <c r="D584" t="s">
        <v>520</v>
      </c>
      <c r="E584" t="s">
        <v>1019</v>
      </c>
      <c r="F584">
        <v>2094</v>
      </c>
      <c r="G584" t="s">
        <v>1181</v>
      </c>
      <c r="I584" t="s">
        <v>1299</v>
      </c>
      <c r="J584">
        <v>2</v>
      </c>
      <c r="K584">
        <v>0</v>
      </c>
      <c r="L584">
        <v>1</v>
      </c>
      <c r="M584" t="s">
        <v>1302</v>
      </c>
      <c r="N584">
        <v>35808</v>
      </c>
      <c r="O584">
        <v>10456</v>
      </c>
      <c r="P584" t="s">
        <v>1310</v>
      </c>
      <c r="Q584" t="s">
        <v>1324</v>
      </c>
      <c r="S584" t="s">
        <v>1337</v>
      </c>
      <c r="W584" t="s">
        <v>1366</v>
      </c>
      <c r="AA584">
        <v>0</v>
      </c>
      <c r="AB584">
        <v>0</v>
      </c>
      <c r="AD584">
        <v>0</v>
      </c>
      <c r="AE584">
        <v>0</v>
      </c>
      <c r="AF584">
        <v>0</v>
      </c>
      <c r="AG584">
        <v>0</v>
      </c>
    </row>
    <row r="585" spans="1:33">
      <c r="A585" s="1">
        <f>HYPERLINK("https://lsnyc.legalserver.org/matter/dynamic-profile/view/1902857","19-1902857")</f>
        <v>0</v>
      </c>
      <c r="B585" t="s">
        <v>36</v>
      </c>
      <c r="C585" t="s">
        <v>58</v>
      </c>
      <c r="D585" t="s">
        <v>521</v>
      </c>
      <c r="E585" t="s">
        <v>1060</v>
      </c>
      <c r="F585">
        <v>2094</v>
      </c>
      <c r="G585" t="s">
        <v>1215</v>
      </c>
      <c r="I585" t="s">
        <v>1299</v>
      </c>
      <c r="J585">
        <v>5</v>
      </c>
      <c r="K585">
        <v>0</v>
      </c>
      <c r="L585">
        <v>1</v>
      </c>
      <c r="M585" t="s">
        <v>1301</v>
      </c>
      <c r="N585">
        <v>50000</v>
      </c>
      <c r="O585">
        <v>10466</v>
      </c>
      <c r="P585" t="s">
        <v>1310</v>
      </c>
      <c r="Q585" t="s">
        <v>1314</v>
      </c>
      <c r="S585" t="s">
        <v>1336</v>
      </c>
      <c r="W585" t="s">
        <v>1366</v>
      </c>
      <c r="AA585">
        <v>0</v>
      </c>
      <c r="AB585">
        <v>0</v>
      </c>
      <c r="AD585">
        <v>0</v>
      </c>
      <c r="AE585">
        <v>0</v>
      </c>
      <c r="AF585">
        <v>0</v>
      </c>
      <c r="AG585">
        <v>0</v>
      </c>
    </row>
    <row r="586" spans="1:33">
      <c r="A586" s="1">
        <f>HYPERLINK("https://lsnyc.legalserver.org/matter/dynamic-profile/view/1903018","19-1903018")</f>
        <v>0</v>
      </c>
      <c r="B586" t="s">
        <v>34</v>
      </c>
      <c r="C586" t="s">
        <v>42</v>
      </c>
      <c r="D586" t="s">
        <v>522</v>
      </c>
      <c r="E586" t="s">
        <v>1061</v>
      </c>
      <c r="F586">
        <v>2093</v>
      </c>
      <c r="G586" t="s">
        <v>1192</v>
      </c>
      <c r="I586" t="s">
        <v>1299</v>
      </c>
      <c r="J586">
        <v>1</v>
      </c>
      <c r="K586">
        <v>0</v>
      </c>
      <c r="L586">
        <v>1</v>
      </c>
      <c r="M586" t="s">
        <v>1301</v>
      </c>
      <c r="N586">
        <v>23400</v>
      </c>
      <c r="O586">
        <v>11429</v>
      </c>
      <c r="P586" t="s">
        <v>1308</v>
      </c>
      <c r="Q586" t="s">
        <v>1315</v>
      </c>
      <c r="S586" t="s">
        <v>1332</v>
      </c>
      <c r="W586" t="s">
        <v>1361</v>
      </c>
      <c r="AA586">
        <v>0</v>
      </c>
      <c r="AB586">
        <v>0</v>
      </c>
      <c r="AD586">
        <v>0</v>
      </c>
      <c r="AE586">
        <v>0</v>
      </c>
      <c r="AF586">
        <v>0</v>
      </c>
      <c r="AG586">
        <v>0</v>
      </c>
    </row>
    <row r="587" spans="1:33">
      <c r="A587" s="1">
        <f>HYPERLINK("https://lsnyc.legalserver.org/matter/dynamic-profile/view/1900314","19-1900314")</f>
        <v>0</v>
      </c>
      <c r="B587" t="s">
        <v>33</v>
      </c>
      <c r="C587" t="s">
        <v>38</v>
      </c>
      <c r="D587" t="s">
        <v>523</v>
      </c>
      <c r="E587" t="s">
        <v>1062</v>
      </c>
      <c r="F587">
        <v>2090</v>
      </c>
      <c r="G587" t="s">
        <v>1224</v>
      </c>
      <c r="I587" t="s">
        <v>1299</v>
      </c>
      <c r="J587">
        <v>5</v>
      </c>
      <c r="K587">
        <v>0</v>
      </c>
      <c r="L587">
        <v>0</v>
      </c>
      <c r="N587">
        <v>74000</v>
      </c>
      <c r="O587">
        <v>10304</v>
      </c>
      <c r="P587" t="s">
        <v>1307</v>
      </c>
      <c r="Q587" t="s">
        <v>1321</v>
      </c>
      <c r="S587" t="s">
        <v>1336</v>
      </c>
      <c r="AA587">
        <v>0</v>
      </c>
      <c r="AB587">
        <v>0</v>
      </c>
      <c r="AD587">
        <v>0</v>
      </c>
      <c r="AE587">
        <v>0</v>
      </c>
      <c r="AF587">
        <v>0</v>
      </c>
      <c r="AG587">
        <v>0</v>
      </c>
    </row>
    <row r="588" spans="1:33">
      <c r="A588" s="1">
        <f>HYPERLINK("https://lsnyc.legalserver.org/matter/dynamic-profile/view/1903564","19-1903564")</f>
        <v>0</v>
      </c>
      <c r="B588" t="s">
        <v>36</v>
      </c>
      <c r="C588" t="s">
        <v>46</v>
      </c>
      <c r="D588" t="s">
        <v>338</v>
      </c>
      <c r="E588" t="s">
        <v>1063</v>
      </c>
      <c r="F588">
        <v>2094</v>
      </c>
      <c r="G588" t="s">
        <v>1207</v>
      </c>
      <c r="H588" t="s">
        <v>1231</v>
      </c>
      <c r="I588" t="s">
        <v>1299</v>
      </c>
      <c r="J588">
        <v>3</v>
      </c>
      <c r="K588">
        <v>2</v>
      </c>
      <c r="L588">
        <v>1</v>
      </c>
      <c r="M588" t="s">
        <v>1302</v>
      </c>
      <c r="N588">
        <v>55424</v>
      </c>
      <c r="O588">
        <v>10473</v>
      </c>
      <c r="P588" t="s">
        <v>1310</v>
      </c>
      <c r="Q588" t="s">
        <v>1320</v>
      </c>
      <c r="S588" t="s">
        <v>1337</v>
      </c>
      <c r="W588" t="s">
        <v>1366</v>
      </c>
      <c r="AA588">
        <v>0</v>
      </c>
      <c r="AB588">
        <v>0</v>
      </c>
      <c r="AD588">
        <v>0</v>
      </c>
      <c r="AE588">
        <v>0</v>
      </c>
      <c r="AF588">
        <v>0</v>
      </c>
      <c r="AG588">
        <v>0</v>
      </c>
    </row>
    <row r="589" spans="1:33">
      <c r="A589" s="1">
        <f>HYPERLINK("https://lsnyc.legalserver.org/matter/dynamic-profile/view/1903646","19-1903646")</f>
        <v>0</v>
      </c>
      <c r="B589" t="s">
        <v>34</v>
      </c>
      <c r="C589" t="s">
        <v>57</v>
      </c>
      <c r="D589" t="s">
        <v>524</v>
      </c>
      <c r="E589" t="s">
        <v>1064</v>
      </c>
      <c r="F589">
        <v>2093</v>
      </c>
      <c r="G589" t="s">
        <v>1190</v>
      </c>
      <c r="I589" t="s">
        <v>1299</v>
      </c>
      <c r="J589">
        <v>5</v>
      </c>
      <c r="K589">
        <v>2</v>
      </c>
      <c r="L589">
        <v>0</v>
      </c>
      <c r="M589" t="s">
        <v>1304</v>
      </c>
      <c r="N589">
        <v>122568</v>
      </c>
      <c r="O589">
        <v>11377</v>
      </c>
      <c r="P589" t="s">
        <v>1308</v>
      </c>
      <c r="Q589" t="s">
        <v>1319</v>
      </c>
      <c r="S589" t="s">
        <v>1332</v>
      </c>
      <c r="T589" t="s">
        <v>1336</v>
      </c>
      <c r="AA589">
        <v>0</v>
      </c>
      <c r="AB589">
        <v>0</v>
      </c>
      <c r="AD589">
        <v>0</v>
      </c>
      <c r="AE589">
        <v>0</v>
      </c>
      <c r="AF589">
        <v>0</v>
      </c>
      <c r="AG589">
        <v>0</v>
      </c>
    </row>
    <row r="590" spans="1:33">
      <c r="A590" s="1">
        <f>HYPERLINK("https://lsnyc.legalserver.org/matter/dynamic-profile/view/1902174","19-1902174")</f>
        <v>0</v>
      </c>
      <c r="B590" t="s">
        <v>33</v>
      </c>
      <c r="C590" t="s">
        <v>53</v>
      </c>
      <c r="D590" t="s">
        <v>525</v>
      </c>
      <c r="E590" t="s">
        <v>1065</v>
      </c>
      <c r="F590">
        <v>2090</v>
      </c>
      <c r="G590" t="s">
        <v>1200</v>
      </c>
      <c r="I590" t="s">
        <v>1299</v>
      </c>
      <c r="J590">
        <v>1</v>
      </c>
      <c r="K590">
        <v>1</v>
      </c>
      <c r="L590">
        <v>0</v>
      </c>
      <c r="N590">
        <v>15000</v>
      </c>
      <c r="O590">
        <v>10305</v>
      </c>
      <c r="P590" t="s">
        <v>1307</v>
      </c>
      <c r="Q590" t="s">
        <v>1325</v>
      </c>
      <c r="S590" t="s">
        <v>1332</v>
      </c>
      <c r="W590" t="s">
        <v>1361</v>
      </c>
      <c r="Y590" t="s">
        <v>1366</v>
      </c>
      <c r="AA590">
        <v>0</v>
      </c>
      <c r="AB590">
        <v>0</v>
      </c>
      <c r="AD590">
        <v>0</v>
      </c>
      <c r="AE590">
        <v>0</v>
      </c>
      <c r="AF590">
        <v>0</v>
      </c>
      <c r="AG590">
        <v>0</v>
      </c>
    </row>
    <row r="591" spans="1:33">
      <c r="A591" s="1">
        <f>HYPERLINK("https://lsnyc.legalserver.org/matter/dynamic-profile/view/1903505","19-1903505")</f>
        <v>0</v>
      </c>
      <c r="B591" t="s">
        <v>33</v>
      </c>
      <c r="C591" t="s">
        <v>38</v>
      </c>
      <c r="D591" t="s">
        <v>526</v>
      </c>
      <c r="E591" t="s">
        <v>1017</v>
      </c>
      <c r="F591">
        <v>2090</v>
      </c>
      <c r="G591" t="s">
        <v>1210</v>
      </c>
      <c r="I591" t="s">
        <v>1299</v>
      </c>
      <c r="J591">
        <v>4</v>
      </c>
      <c r="K591">
        <v>1</v>
      </c>
      <c r="L591">
        <v>0</v>
      </c>
      <c r="N591">
        <v>96000</v>
      </c>
      <c r="O591">
        <v>10312</v>
      </c>
      <c r="P591" t="s">
        <v>1307</v>
      </c>
      <c r="Q591" t="s">
        <v>1328</v>
      </c>
      <c r="S591" t="s">
        <v>1337</v>
      </c>
      <c r="AA591">
        <v>0</v>
      </c>
      <c r="AB591">
        <v>0</v>
      </c>
      <c r="AD591">
        <v>0</v>
      </c>
      <c r="AE591">
        <v>0</v>
      </c>
      <c r="AF591">
        <v>0</v>
      </c>
      <c r="AG591">
        <v>0</v>
      </c>
    </row>
    <row r="592" spans="1:33">
      <c r="A592" s="1">
        <f>HYPERLINK("https://lsnyc.legalserver.org/matter/dynamic-profile/view/1900556","19-1900556")</f>
        <v>0</v>
      </c>
      <c r="B592" t="s">
        <v>36</v>
      </c>
      <c r="C592" t="s">
        <v>58</v>
      </c>
      <c r="D592" t="s">
        <v>527</v>
      </c>
      <c r="E592" t="s">
        <v>1066</v>
      </c>
      <c r="F592">
        <v>2094</v>
      </c>
      <c r="G592" t="s">
        <v>1178</v>
      </c>
      <c r="I592" t="s">
        <v>1299</v>
      </c>
      <c r="J592">
        <v>2</v>
      </c>
      <c r="K592">
        <v>2</v>
      </c>
      <c r="L592">
        <v>0</v>
      </c>
      <c r="M592" t="s">
        <v>1303</v>
      </c>
      <c r="N592">
        <v>30820</v>
      </c>
      <c r="O592">
        <v>10462</v>
      </c>
      <c r="P592" t="s">
        <v>1310</v>
      </c>
      <c r="Q592" t="s">
        <v>1314</v>
      </c>
      <c r="R592" t="s">
        <v>1320</v>
      </c>
      <c r="AA592">
        <v>0</v>
      </c>
      <c r="AB592">
        <v>0</v>
      </c>
      <c r="AD592">
        <v>0</v>
      </c>
      <c r="AE592">
        <v>0</v>
      </c>
      <c r="AF592">
        <v>0</v>
      </c>
      <c r="AG592">
        <v>0</v>
      </c>
    </row>
    <row r="593" spans="1:33">
      <c r="A593" s="1">
        <f>HYPERLINK("https://lsnyc.legalserver.org/matter/dynamic-profile/view/1904562","19-1904562")</f>
        <v>0</v>
      </c>
      <c r="B593" t="s">
        <v>34</v>
      </c>
      <c r="C593" t="s">
        <v>57</v>
      </c>
      <c r="D593" t="s">
        <v>528</v>
      </c>
      <c r="E593" t="s">
        <v>1067</v>
      </c>
      <c r="F593">
        <v>2093</v>
      </c>
      <c r="G593" t="s">
        <v>1231</v>
      </c>
      <c r="I593" t="s">
        <v>1299</v>
      </c>
      <c r="J593">
        <v>1</v>
      </c>
      <c r="K593">
        <v>0</v>
      </c>
      <c r="L593">
        <v>0</v>
      </c>
      <c r="M593" t="s">
        <v>1303</v>
      </c>
      <c r="N593">
        <v>41860</v>
      </c>
      <c r="O593">
        <v>11367</v>
      </c>
      <c r="P593" t="s">
        <v>1308</v>
      </c>
      <c r="Q593" t="s">
        <v>1315</v>
      </c>
      <c r="S593" t="s">
        <v>1339</v>
      </c>
      <c r="AA593">
        <v>0</v>
      </c>
      <c r="AB593">
        <v>0</v>
      </c>
      <c r="AD593">
        <v>0</v>
      </c>
      <c r="AE593">
        <v>0</v>
      </c>
      <c r="AF593">
        <v>0</v>
      </c>
      <c r="AG593">
        <v>0</v>
      </c>
    </row>
    <row r="594" spans="1:33">
      <c r="A594" s="1">
        <f>HYPERLINK("https://lsnyc.legalserver.org/matter/dynamic-profile/view/1904587","19-1904587")</f>
        <v>0</v>
      </c>
      <c r="B594" t="s">
        <v>36</v>
      </c>
      <c r="C594" t="s">
        <v>46</v>
      </c>
      <c r="D594" t="s">
        <v>157</v>
      </c>
      <c r="E594" t="s">
        <v>1068</v>
      </c>
      <c r="F594">
        <v>2094</v>
      </c>
      <c r="G594" t="s">
        <v>1209</v>
      </c>
      <c r="I594" t="s">
        <v>1299</v>
      </c>
      <c r="J594">
        <v>2</v>
      </c>
      <c r="K594">
        <v>0</v>
      </c>
      <c r="L594">
        <v>1</v>
      </c>
      <c r="M594" t="s">
        <v>1304</v>
      </c>
      <c r="N594">
        <v>16656</v>
      </c>
      <c r="O594">
        <v>10454</v>
      </c>
      <c r="P594" t="s">
        <v>1310</v>
      </c>
      <c r="Q594" t="s">
        <v>1324</v>
      </c>
      <c r="AA594">
        <v>0</v>
      </c>
      <c r="AB594">
        <v>0</v>
      </c>
      <c r="AD594">
        <v>0</v>
      </c>
      <c r="AE594">
        <v>0</v>
      </c>
      <c r="AF594">
        <v>0</v>
      </c>
      <c r="AG594">
        <v>0</v>
      </c>
    </row>
    <row r="595" spans="1:33">
      <c r="A595" s="1">
        <f>HYPERLINK("https://lsnyc.legalserver.org/matter/dynamic-profile/view/1905344","19-1905344")</f>
        <v>0</v>
      </c>
      <c r="B595" t="s">
        <v>34</v>
      </c>
      <c r="C595" t="s">
        <v>65</v>
      </c>
      <c r="D595" t="s">
        <v>100</v>
      </c>
      <c r="E595" t="s">
        <v>1069</v>
      </c>
      <c r="F595">
        <v>2093</v>
      </c>
      <c r="I595" t="s">
        <v>1299</v>
      </c>
      <c r="J595">
        <v>1</v>
      </c>
      <c r="K595">
        <v>0</v>
      </c>
      <c r="L595">
        <v>1</v>
      </c>
      <c r="M595" t="s">
        <v>1301</v>
      </c>
      <c r="N595">
        <v>19200</v>
      </c>
      <c r="O595">
        <v>11374</v>
      </c>
      <c r="P595" t="s">
        <v>1308</v>
      </c>
      <c r="Q595" t="s">
        <v>1324</v>
      </c>
      <c r="R595" t="s">
        <v>1316</v>
      </c>
      <c r="S595" t="s">
        <v>1334</v>
      </c>
      <c r="AA595">
        <v>0</v>
      </c>
      <c r="AB595">
        <v>0</v>
      </c>
      <c r="AD595">
        <v>0</v>
      </c>
      <c r="AE595">
        <v>0</v>
      </c>
      <c r="AF595">
        <v>0</v>
      </c>
      <c r="AG595">
        <v>0</v>
      </c>
    </row>
    <row r="596" spans="1:33">
      <c r="A596" s="1">
        <f>HYPERLINK("https://lsnyc.legalserver.org/matter/dynamic-profile/view/1906205","19-1906205")</f>
        <v>0</v>
      </c>
      <c r="B596" t="s">
        <v>34</v>
      </c>
      <c r="C596" t="s">
        <v>39</v>
      </c>
      <c r="D596" t="s">
        <v>352</v>
      </c>
      <c r="E596" t="s">
        <v>547</v>
      </c>
      <c r="F596">
        <v>2093</v>
      </c>
      <c r="G596" t="s">
        <v>1243</v>
      </c>
      <c r="I596" t="s">
        <v>1299</v>
      </c>
      <c r="J596">
        <v>3</v>
      </c>
      <c r="K596">
        <v>0</v>
      </c>
      <c r="L596">
        <v>1</v>
      </c>
      <c r="M596" t="s">
        <v>1301</v>
      </c>
      <c r="N596">
        <v>39453</v>
      </c>
      <c r="O596">
        <v>11412</v>
      </c>
      <c r="P596" t="s">
        <v>1308</v>
      </c>
      <c r="Q596" t="s">
        <v>1324</v>
      </c>
      <c r="S596" t="s">
        <v>1332</v>
      </c>
      <c r="AA596">
        <v>0</v>
      </c>
      <c r="AB596">
        <v>0</v>
      </c>
      <c r="AD596">
        <v>0</v>
      </c>
      <c r="AE596">
        <v>0</v>
      </c>
      <c r="AF596">
        <v>0</v>
      </c>
      <c r="AG596">
        <v>0</v>
      </c>
    </row>
    <row r="597" spans="1:33">
      <c r="A597" s="1">
        <f>HYPERLINK("https://lsnyc.legalserver.org/matter/dynamic-profile/view/1905943","19-1905943")</f>
        <v>0</v>
      </c>
      <c r="B597" t="s">
        <v>33</v>
      </c>
      <c r="C597" t="s">
        <v>63</v>
      </c>
      <c r="D597" t="s">
        <v>143</v>
      </c>
      <c r="E597" t="s">
        <v>986</v>
      </c>
      <c r="F597">
        <v>2090</v>
      </c>
      <c r="G597" t="s">
        <v>1199</v>
      </c>
      <c r="I597" t="s">
        <v>1299</v>
      </c>
      <c r="J597">
        <v>1</v>
      </c>
      <c r="K597">
        <v>2</v>
      </c>
      <c r="L597">
        <v>0</v>
      </c>
      <c r="N597">
        <v>40608</v>
      </c>
      <c r="O597">
        <v>10312</v>
      </c>
      <c r="P597" t="s">
        <v>1307</v>
      </c>
      <c r="Q597" t="s">
        <v>1314</v>
      </c>
      <c r="S597" t="s">
        <v>1334</v>
      </c>
      <c r="AA597">
        <v>0</v>
      </c>
      <c r="AB597">
        <v>0</v>
      </c>
      <c r="AD597">
        <v>0</v>
      </c>
      <c r="AE597">
        <v>0</v>
      </c>
      <c r="AF597">
        <v>0</v>
      </c>
      <c r="AG597">
        <v>0</v>
      </c>
    </row>
    <row r="598" spans="1:33">
      <c r="A598" s="1">
        <f>HYPERLINK("https://lsnyc.legalserver.org/matter/dynamic-profile/view/1906718","19-1906718")</f>
        <v>0</v>
      </c>
      <c r="B598" t="s">
        <v>34</v>
      </c>
      <c r="C598" t="s">
        <v>57</v>
      </c>
      <c r="D598" t="s">
        <v>529</v>
      </c>
      <c r="E598" t="s">
        <v>1070</v>
      </c>
      <c r="F598">
        <v>2093</v>
      </c>
      <c r="G598" t="s">
        <v>1199</v>
      </c>
      <c r="I598" t="s">
        <v>1299</v>
      </c>
      <c r="J598">
        <v>1</v>
      </c>
      <c r="K598">
        <v>0</v>
      </c>
      <c r="L598">
        <v>1</v>
      </c>
      <c r="M598" t="s">
        <v>1301</v>
      </c>
      <c r="N598">
        <v>33740</v>
      </c>
      <c r="O598">
        <v>11429</v>
      </c>
      <c r="P598" t="s">
        <v>1308</v>
      </c>
      <c r="Q598" t="s">
        <v>1315</v>
      </c>
      <c r="R598" t="s">
        <v>1319</v>
      </c>
      <c r="S598" t="s">
        <v>1338</v>
      </c>
      <c r="AA598">
        <v>0</v>
      </c>
      <c r="AB598">
        <v>0</v>
      </c>
      <c r="AD598">
        <v>0</v>
      </c>
      <c r="AE598">
        <v>0</v>
      </c>
      <c r="AF598">
        <v>0</v>
      </c>
      <c r="AG598">
        <v>0</v>
      </c>
    </row>
    <row r="599" spans="1:33">
      <c r="A599" s="1">
        <f>HYPERLINK("https://lsnyc.legalserver.org/matter/dynamic-profile/view/1906792","19-1906792")</f>
        <v>0</v>
      </c>
      <c r="B599" t="s">
        <v>36</v>
      </c>
      <c r="C599" t="s">
        <v>59</v>
      </c>
      <c r="D599" t="s">
        <v>166</v>
      </c>
      <c r="E599" t="s">
        <v>1071</v>
      </c>
      <c r="F599">
        <v>2094</v>
      </c>
      <c r="H599" t="s">
        <v>1296</v>
      </c>
      <c r="I599" t="s">
        <v>1299</v>
      </c>
      <c r="J599">
        <v>1</v>
      </c>
      <c r="K599">
        <v>0</v>
      </c>
      <c r="L599">
        <v>0</v>
      </c>
      <c r="M599" t="s">
        <v>1302</v>
      </c>
      <c r="N599">
        <v>41600</v>
      </c>
      <c r="O599">
        <v>10453</v>
      </c>
      <c r="P599" t="s">
        <v>1310</v>
      </c>
      <c r="Q599" t="s">
        <v>1318</v>
      </c>
      <c r="AA599">
        <v>0</v>
      </c>
      <c r="AB599">
        <v>0</v>
      </c>
      <c r="AD599">
        <v>0</v>
      </c>
      <c r="AE599">
        <v>0</v>
      </c>
      <c r="AF599">
        <v>0</v>
      </c>
      <c r="AG599">
        <v>0</v>
      </c>
    </row>
    <row r="600" spans="1:33">
      <c r="A600" s="1">
        <f>HYPERLINK("https://lsnyc.legalserver.org/matter/dynamic-profile/view/1906966","19-1906966")</f>
        <v>0</v>
      </c>
      <c r="B600" t="s">
        <v>34</v>
      </c>
      <c r="C600" t="s">
        <v>54</v>
      </c>
      <c r="D600" t="s">
        <v>530</v>
      </c>
      <c r="E600" t="s">
        <v>469</v>
      </c>
      <c r="F600">
        <v>2093</v>
      </c>
      <c r="G600" t="s">
        <v>1283</v>
      </c>
      <c r="I600" t="s">
        <v>1299</v>
      </c>
      <c r="J600">
        <v>1</v>
      </c>
      <c r="K600">
        <v>0</v>
      </c>
      <c r="L600">
        <v>0</v>
      </c>
      <c r="M600" t="s">
        <v>1301</v>
      </c>
      <c r="N600">
        <v>30000</v>
      </c>
      <c r="O600">
        <v>11433</v>
      </c>
      <c r="P600" t="s">
        <v>1308</v>
      </c>
      <c r="Q600" t="s">
        <v>1320</v>
      </c>
      <c r="S600" t="s">
        <v>1333</v>
      </c>
      <c r="AA600">
        <v>0</v>
      </c>
      <c r="AB600">
        <v>0</v>
      </c>
      <c r="AD600">
        <v>0</v>
      </c>
      <c r="AE600">
        <v>0</v>
      </c>
      <c r="AF600">
        <v>0</v>
      </c>
      <c r="AG600">
        <v>0</v>
      </c>
    </row>
    <row r="601" spans="1:33">
      <c r="A601" s="1">
        <f>HYPERLINK("https://lsnyc.legalserver.org/matter/dynamic-profile/view/1906824","19-1906824")</f>
        <v>0</v>
      </c>
      <c r="B601" t="s">
        <v>33</v>
      </c>
      <c r="C601" t="s">
        <v>56</v>
      </c>
      <c r="D601" t="s">
        <v>154</v>
      </c>
      <c r="E601" t="s">
        <v>1072</v>
      </c>
      <c r="F601">
        <v>2090</v>
      </c>
      <c r="G601" t="s">
        <v>1231</v>
      </c>
      <c r="I601" t="s">
        <v>1299</v>
      </c>
      <c r="J601">
        <v>4</v>
      </c>
      <c r="K601">
        <v>1</v>
      </c>
      <c r="L601">
        <v>0</v>
      </c>
      <c r="N601">
        <v>54420</v>
      </c>
      <c r="O601">
        <v>10305</v>
      </c>
      <c r="P601" t="s">
        <v>1307</v>
      </c>
      <c r="Q601" t="s">
        <v>1319</v>
      </c>
      <c r="S601" t="s">
        <v>1337</v>
      </c>
      <c r="AA601">
        <v>0</v>
      </c>
      <c r="AB601">
        <v>0</v>
      </c>
      <c r="AD601">
        <v>0</v>
      </c>
      <c r="AE601">
        <v>0</v>
      </c>
      <c r="AF601">
        <v>0</v>
      </c>
      <c r="AG601">
        <v>0</v>
      </c>
    </row>
    <row r="602" spans="1:33">
      <c r="A602" s="1">
        <f>HYPERLINK("https://lsnyc.legalserver.org/matter/dynamic-profile/view/1907474","19-1907474")</f>
        <v>0</v>
      </c>
      <c r="B602" t="s">
        <v>36</v>
      </c>
      <c r="C602" t="s">
        <v>59</v>
      </c>
      <c r="D602" t="s">
        <v>531</v>
      </c>
      <c r="E602" t="s">
        <v>1073</v>
      </c>
      <c r="F602">
        <v>2094</v>
      </c>
      <c r="H602" t="s">
        <v>1190</v>
      </c>
      <c r="I602" t="s">
        <v>1299</v>
      </c>
      <c r="J602">
        <v>1</v>
      </c>
      <c r="K602">
        <v>0</v>
      </c>
      <c r="L602">
        <v>0</v>
      </c>
      <c r="M602" t="s">
        <v>1301</v>
      </c>
      <c r="N602">
        <v>32412</v>
      </c>
      <c r="O602">
        <v>10469</v>
      </c>
      <c r="P602" t="s">
        <v>1310</v>
      </c>
      <c r="Q602" t="s">
        <v>1319</v>
      </c>
      <c r="S602" t="s">
        <v>1337</v>
      </c>
      <c r="T602" t="s">
        <v>1333</v>
      </c>
      <c r="W602" t="s">
        <v>1366</v>
      </c>
      <c r="AA602">
        <v>0</v>
      </c>
      <c r="AB602">
        <v>0</v>
      </c>
      <c r="AD602">
        <v>0</v>
      </c>
      <c r="AE602">
        <v>0</v>
      </c>
      <c r="AF602">
        <v>0</v>
      </c>
      <c r="AG602">
        <v>0</v>
      </c>
    </row>
    <row r="603" spans="1:33">
      <c r="A603" s="1">
        <f>HYPERLINK("https://lsnyc.legalserver.org/matter/dynamic-profile/view/1907547","19-1907547")</f>
        <v>0</v>
      </c>
      <c r="B603" t="s">
        <v>34</v>
      </c>
      <c r="C603" t="s">
        <v>39</v>
      </c>
      <c r="D603" t="s">
        <v>532</v>
      </c>
      <c r="E603" t="s">
        <v>1073</v>
      </c>
      <c r="F603">
        <v>2093</v>
      </c>
      <c r="H603" t="s">
        <v>1282</v>
      </c>
      <c r="I603" t="s">
        <v>1299</v>
      </c>
      <c r="J603">
        <v>4</v>
      </c>
      <c r="K603">
        <v>1</v>
      </c>
      <c r="L603">
        <v>0</v>
      </c>
      <c r="M603" t="s">
        <v>1302</v>
      </c>
      <c r="N603">
        <v>54000</v>
      </c>
      <c r="O603">
        <v>11368</v>
      </c>
      <c r="P603" t="s">
        <v>1308</v>
      </c>
      <c r="Q603" t="s">
        <v>1318</v>
      </c>
      <c r="S603" t="s">
        <v>1333</v>
      </c>
      <c r="AA603">
        <v>0</v>
      </c>
      <c r="AB603">
        <v>0</v>
      </c>
      <c r="AD603">
        <v>0</v>
      </c>
      <c r="AE603">
        <v>0</v>
      </c>
      <c r="AF603">
        <v>0</v>
      </c>
      <c r="AG603">
        <v>0</v>
      </c>
    </row>
    <row r="604" spans="1:33">
      <c r="A604" s="1">
        <f>HYPERLINK("https://lsnyc.legalserver.org/matter/dynamic-profile/view/1908378","19-1908378")</f>
        <v>0</v>
      </c>
      <c r="B604" t="s">
        <v>36</v>
      </c>
      <c r="C604" t="s">
        <v>58</v>
      </c>
      <c r="D604" t="s">
        <v>533</v>
      </c>
      <c r="E604" t="s">
        <v>1074</v>
      </c>
      <c r="F604">
        <v>2094</v>
      </c>
      <c r="G604" t="s">
        <v>1210</v>
      </c>
      <c r="I604" t="s">
        <v>1299</v>
      </c>
      <c r="J604">
        <v>2</v>
      </c>
      <c r="K604">
        <v>0</v>
      </c>
      <c r="L604">
        <v>0</v>
      </c>
      <c r="M604" t="s">
        <v>1302</v>
      </c>
      <c r="N604">
        <v>92400</v>
      </c>
      <c r="O604">
        <v>10472</v>
      </c>
      <c r="P604" t="s">
        <v>1310</v>
      </c>
      <c r="Q604" t="s">
        <v>1320</v>
      </c>
      <c r="S604" t="s">
        <v>1332</v>
      </c>
      <c r="W604" t="s">
        <v>1361</v>
      </c>
      <c r="AA604">
        <v>0</v>
      </c>
      <c r="AB604">
        <v>0</v>
      </c>
      <c r="AD604">
        <v>0</v>
      </c>
      <c r="AE604">
        <v>0</v>
      </c>
      <c r="AF604">
        <v>0</v>
      </c>
      <c r="AG604">
        <v>0</v>
      </c>
    </row>
    <row r="605" spans="1:33">
      <c r="A605" s="1">
        <f>HYPERLINK("https://lsnyc.legalserver.org/matter/dynamic-profile/view/1908534","19-1908534")</f>
        <v>0</v>
      </c>
      <c r="B605" t="s">
        <v>36</v>
      </c>
      <c r="C605" t="s">
        <v>58</v>
      </c>
      <c r="D605" t="s">
        <v>534</v>
      </c>
      <c r="E605" t="s">
        <v>1038</v>
      </c>
      <c r="F605">
        <v>2094</v>
      </c>
      <c r="G605" t="s">
        <v>1224</v>
      </c>
      <c r="I605" t="s">
        <v>1299</v>
      </c>
      <c r="J605">
        <v>2</v>
      </c>
      <c r="K605">
        <v>0</v>
      </c>
      <c r="L605">
        <v>1</v>
      </c>
      <c r="M605" t="s">
        <v>1306</v>
      </c>
      <c r="N605">
        <v>130000</v>
      </c>
      <c r="O605">
        <v>10472</v>
      </c>
      <c r="P605" t="s">
        <v>1310</v>
      </c>
      <c r="Q605" t="s">
        <v>1318</v>
      </c>
      <c r="S605" t="s">
        <v>1332</v>
      </c>
      <c r="T605" t="s">
        <v>1336</v>
      </c>
      <c r="W605" t="s">
        <v>1361</v>
      </c>
      <c r="Y605" t="s">
        <v>1366</v>
      </c>
      <c r="AA605">
        <v>0</v>
      </c>
      <c r="AB605">
        <v>0</v>
      </c>
      <c r="AD605">
        <v>0</v>
      </c>
      <c r="AE605">
        <v>0</v>
      </c>
      <c r="AF605">
        <v>0</v>
      </c>
      <c r="AG605">
        <v>0</v>
      </c>
    </row>
    <row r="606" spans="1:33">
      <c r="A606" s="1">
        <f>HYPERLINK("https://lsnyc.legalserver.org/matter/dynamic-profile/view/1908771","19-1908771")</f>
        <v>0</v>
      </c>
      <c r="B606" t="s">
        <v>34</v>
      </c>
      <c r="C606" t="s">
        <v>42</v>
      </c>
      <c r="D606" t="s">
        <v>535</v>
      </c>
      <c r="E606" t="s">
        <v>1075</v>
      </c>
      <c r="F606">
        <v>2093</v>
      </c>
      <c r="G606" t="s">
        <v>1251</v>
      </c>
      <c r="I606" t="s">
        <v>1299</v>
      </c>
      <c r="J606">
        <v>3</v>
      </c>
      <c r="K606">
        <v>1</v>
      </c>
      <c r="L606">
        <v>0</v>
      </c>
      <c r="M606" t="s">
        <v>1301</v>
      </c>
      <c r="N606">
        <v>100000</v>
      </c>
      <c r="O606">
        <v>11361</v>
      </c>
      <c r="P606" t="s">
        <v>1308</v>
      </c>
      <c r="Q606" t="s">
        <v>1315</v>
      </c>
      <c r="S606" t="s">
        <v>1333</v>
      </c>
      <c r="T606" t="s">
        <v>1340</v>
      </c>
      <c r="AA606">
        <v>0</v>
      </c>
      <c r="AB606">
        <v>0</v>
      </c>
      <c r="AD606">
        <v>0</v>
      </c>
      <c r="AE606">
        <v>0</v>
      </c>
      <c r="AF606">
        <v>0</v>
      </c>
      <c r="AG606">
        <v>0</v>
      </c>
    </row>
    <row r="607" spans="1:33">
      <c r="A607" s="1">
        <f>HYPERLINK("https://lsnyc.legalserver.org/matter/dynamic-profile/view/1908940","19-1908940")</f>
        <v>0</v>
      </c>
      <c r="B607" t="s">
        <v>35</v>
      </c>
      <c r="C607" t="s">
        <v>55</v>
      </c>
      <c r="D607" t="s">
        <v>100</v>
      </c>
      <c r="E607" t="s">
        <v>614</v>
      </c>
      <c r="F607">
        <v>2091</v>
      </c>
      <c r="G607" t="s">
        <v>1188</v>
      </c>
      <c r="I607" t="s">
        <v>1299</v>
      </c>
      <c r="J607">
        <v>2</v>
      </c>
      <c r="K607">
        <v>0</v>
      </c>
      <c r="L607">
        <v>0</v>
      </c>
      <c r="N607">
        <v>62520</v>
      </c>
      <c r="O607">
        <v>11229</v>
      </c>
      <c r="P607" t="s">
        <v>1309</v>
      </c>
      <c r="Q607" t="s">
        <v>1316</v>
      </c>
      <c r="S607" t="s">
        <v>1337</v>
      </c>
      <c r="AA607">
        <v>0</v>
      </c>
      <c r="AB607">
        <v>0</v>
      </c>
      <c r="AD607">
        <v>0</v>
      </c>
      <c r="AE607">
        <v>0</v>
      </c>
      <c r="AF607">
        <v>0</v>
      </c>
      <c r="AG607">
        <v>0</v>
      </c>
    </row>
    <row r="608" spans="1:33">
      <c r="A608" s="1">
        <f>HYPERLINK("https://lsnyc.legalserver.org/matter/dynamic-profile/view/1909237","19-1909237")</f>
        <v>0</v>
      </c>
      <c r="B608" t="s">
        <v>34</v>
      </c>
      <c r="C608" t="s">
        <v>49</v>
      </c>
      <c r="D608" t="s">
        <v>141</v>
      </c>
      <c r="E608" t="s">
        <v>1046</v>
      </c>
      <c r="F608">
        <v>2093</v>
      </c>
      <c r="I608" t="s">
        <v>1299</v>
      </c>
      <c r="J608">
        <v>2</v>
      </c>
      <c r="K608">
        <v>0</v>
      </c>
      <c r="L608">
        <v>0</v>
      </c>
      <c r="N608">
        <v>29724</v>
      </c>
      <c r="O608">
        <v>11436</v>
      </c>
      <c r="P608" t="s">
        <v>1308</v>
      </c>
      <c r="Q608" t="s">
        <v>1321</v>
      </c>
      <c r="S608" t="s">
        <v>1336</v>
      </c>
      <c r="W608" t="s">
        <v>1366</v>
      </c>
      <c r="AA608">
        <v>0</v>
      </c>
      <c r="AB608">
        <v>0</v>
      </c>
      <c r="AD608">
        <v>0</v>
      </c>
      <c r="AE608">
        <v>0</v>
      </c>
      <c r="AF608">
        <v>0</v>
      </c>
      <c r="AG608">
        <v>0</v>
      </c>
    </row>
    <row r="609" spans="1:33">
      <c r="A609" s="1">
        <f>HYPERLINK("https://lsnyc.legalserver.org/matter/dynamic-profile/view/1909670","19-1909670")</f>
        <v>0</v>
      </c>
      <c r="B609" t="s">
        <v>34</v>
      </c>
      <c r="C609" t="s">
        <v>57</v>
      </c>
      <c r="D609" t="s">
        <v>180</v>
      </c>
      <c r="E609" t="s">
        <v>1076</v>
      </c>
      <c r="F609">
        <v>2093</v>
      </c>
      <c r="I609" t="s">
        <v>1299</v>
      </c>
      <c r="J609">
        <v>1</v>
      </c>
      <c r="K609">
        <v>0</v>
      </c>
      <c r="L609">
        <v>0</v>
      </c>
      <c r="N609">
        <v>13740</v>
      </c>
      <c r="O609">
        <v>11421</v>
      </c>
      <c r="P609" t="s">
        <v>1308</v>
      </c>
      <c r="AA609">
        <v>0</v>
      </c>
      <c r="AB609">
        <v>0</v>
      </c>
      <c r="AD609">
        <v>0</v>
      </c>
      <c r="AE609">
        <v>0</v>
      </c>
      <c r="AF609">
        <v>0</v>
      </c>
      <c r="AG609">
        <v>0</v>
      </c>
    </row>
    <row r="610" spans="1:33">
      <c r="A610" s="1">
        <f>HYPERLINK("https://lsnyc.legalserver.org/matter/dynamic-profile/view/1909830","19-1909830")</f>
        <v>0</v>
      </c>
      <c r="B610" t="s">
        <v>34</v>
      </c>
      <c r="C610" t="s">
        <v>54</v>
      </c>
      <c r="D610" t="s">
        <v>180</v>
      </c>
      <c r="E610" t="s">
        <v>1077</v>
      </c>
      <c r="F610">
        <v>2093</v>
      </c>
      <c r="G610" t="s">
        <v>1210</v>
      </c>
      <c r="I610" t="s">
        <v>1299</v>
      </c>
      <c r="J610">
        <v>2</v>
      </c>
      <c r="K610">
        <v>0</v>
      </c>
      <c r="L610">
        <v>0</v>
      </c>
      <c r="M610" t="s">
        <v>1306</v>
      </c>
      <c r="N610">
        <v>186000</v>
      </c>
      <c r="O610">
        <v>11368</v>
      </c>
      <c r="P610" t="s">
        <v>1308</v>
      </c>
      <c r="Q610" t="s">
        <v>1324</v>
      </c>
      <c r="S610" t="s">
        <v>1336</v>
      </c>
      <c r="W610" t="s">
        <v>1366</v>
      </c>
      <c r="AA610">
        <v>0</v>
      </c>
      <c r="AB610">
        <v>0</v>
      </c>
      <c r="AD610">
        <v>0</v>
      </c>
      <c r="AE610">
        <v>0</v>
      </c>
      <c r="AF610">
        <v>0</v>
      </c>
      <c r="AG610">
        <v>0</v>
      </c>
    </row>
    <row r="611" spans="1:33">
      <c r="A611" s="1">
        <f>HYPERLINK("https://lsnyc.legalserver.org/matter/dynamic-profile/view/1910246","19-1910246")</f>
        <v>0</v>
      </c>
      <c r="B611" t="s">
        <v>36</v>
      </c>
      <c r="C611" t="s">
        <v>46</v>
      </c>
      <c r="D611" t="s">
        <v>536</v>
      </c>
      <c r="E611" t="s">
        <v>1078</v>
      </c>
      <c r="F611">
        <v>2094</v>
      </c>
      <c r="G611" t="s">
        <v>1210</v>
      </c>
      <c r="I611" t="s">
        <v>1299</v>
      </c>
      <c r="J611">
        <v>3</v>
      </c>
      <c r="K611">
        <v>2</v>
      </c>
      <c r="L611">
        <v>0</v>
      </c>
      <c r="M611" t="s">
        <v>1301</v>
      </c>
      <c r="N611">
        <v>45760</v>
      </c>
      <c r="O611">
        <v>10466</v>
      </c>
      <c r="P611" t="s">
        <v>1310</v>
      </c>
      <c r="Q611" t="s">
        <v>1328</v>
      </c>
      <c r="S611" t="s">
        <v>1336</v>
      </c>
      <c r="W611" t="s">
        <v>1366</v>
      </c>
      <c r="AA611">
        <v>0</v>
      </c>
      <c r="AB611">
        <v>0</v>
      </c>
      <c r="AD611">
        <v>0</v>
      </c>
      <c r="AE611">
        <v>0</v>
      </c>
      <c r="AF611">
        <v>0</v>
      </c>
      <c r="AG611">
        <v>0</v>
      </c>
    </row>
    <row r="612" spans="1:33">
      <c r="A612" s="1">
        <f>HYPERLINK("https://lsnyc.legalserver.org/matter/dynamic-profile/view/1910605","19-1910605")</f>
        <v>0</v>
      </c>
      <c r="B612" t="s">
        <v>36</v>
      </c>
      <c r="C612" t="s">
        <v>59</v>
      </c>
      <c r="D612" t="s">
        <v>537</v>
      </c>
      <c r="E612" t="s">
        <v>1079</v>
      </c>
      <c r="F612">
        <v>2094</v>
      </c>
      <c r="G612" t="s">
        <v>1284</v>
      </c>
      <c r="I612" t="s">
        <v>1299</v>
      </c>
      <c r="J612">
        <v>5</v>
      </c>
      <c r="K612">
        <v>3</v>
      </c>
      <c r="L612">
        <v>0</v>
      </c>
      <c r="M612" t="s">
        <v>1301</v>
      </c>
      <c r="N612">
        <v>56200</v>
      </c>
      <c r="O612">
        <v>10468</v>
      </c>
      <c r="P612" t="s">
        <v>1310</v>
      </c>
      <c r="Q612" t="s">
        <v>1315</v>
      </c>
      <c r="R612" t="s">
        <v>1325</v>
      </c>
      <c r="S612" t="s">
        <v>1332</v>
      </c>
      <c r="W612" t="s">
        <v>1361</v>
      </c>
      <c r="AA612">
        <v>0</v>
      </c>
      <c r="AB612">
        <v>0</v>
      </c>
      <c r="AD612">
        <v>0</v>
      </c>
      <c r="AE612">
        <v>0</v>
      </c>
      <c r="AF612">
        <v>0</v>
      </c>
      <c r="AG612">
        <v>0</v>
      </c>
    </row>
    <row r="613" spans="1:33">
      <c r="A613" s="1">
        <f>HYPERLINK("https://lsnyc.legalserver.org/matter/dynamic-profile/view/1911117","19-1911117")</f>
        <v>0</v>
      </c>
      <c r="B613" t="s">
        <v>36</v>
      </c>
      <c r="C613" t="s">
        <v>46</v>
      </c>
      <c r="D613" t="s">
        <v>74</v>
      </c>
      <c r="E613" t="s">
        <v>1080</v>
      </c>
      <c r="F613">
        <v>2094</v>
      </c>
      <c r="G613" t="s">
        <v>1212</v>
      </c>
      <c r="I613" t="s">
        <v>1299</v>
      </c>
      <c r="J613">
        <v>2</v>
      </c>
      <c r="K613">
        <v>1</v>
      </c>
      <c r="L613">
        <v>1</v>
      </c>
      <c r="M613" t="s">
        <v>1302</v>
      </c>
      <c r="N613">
        <v>32172</v>
      </c>
      <c r="O613">
        <v>10473</v>
      </c>
      <c r="P613" t="s">
        <v>1310</v>
      </c>
      <c r="Q613" t="s">
        <v>1319</v>
      </c>
      <c r="R613" t="s">
        <v>1314</v>
      </c>
      <c r="S613" t="s">
        <v>1337</v>
      </c>
      <c r="W613" t="s">
        <v>1366</v>
      </c>
      <c r="AA613">
        <v>0</v>
      </c>
      <c r="AB613">
        <v>0</v>
      </c>
      <c r="AD613">
        <v>0</v>
      </c>
      <c r="AE613">
        <v>0</v>
      </c>
      <c r="AF613">
        <v>0</v>
      </c>
      <c r="AG613">
        <v>0</v>
      </c>
    </row>
    <row r="614" spans="1:33">
      <c r="A614" s="1">
        <f>HYPERLINK("https://lsnyc.legalserver.org/matter/dynamic-profile/view/1911148","19-1911148")</f>
        <v>0</v>
      </c>
      <c r="B614" t="s">
        <v>36</v>
      </c>
      <c r="C614" t="s">
        <v>46</v>
      </c>
      <c r="D614" t="s">
        <v>538</v>
      </c>
      <c r="E614" t="s">
        <v>1081</v>
      </c>
      <c r="F614">
        <v>2094</v>
      </c>
      <c r="I614" t="s">
        <v>1299</v>
      </c>
      <c r="J614">
        <v>3</v>
      </c>
      <c r="K614">
        <v>1</v>
      </c>
      <c r="L614">
        <v>0</v>
      </c>
      <c r="M614" t="s">
        <v>1302</v>
      </c>
      <c r="N614">
        <v>177600</v>
      </c>
      <c r="O614">
        <v>10473</v>
      </c>
      <c r="P614" t="s">
        <v>1310</v>
      </c>
      <c r="Q614" t="s">
        <v>1315</v>
      </c>
      <c r="S614" t="s">
        <v>1336</v>
      </c>
      <c r="T614" t="s">
        <v>1332</v>
      </c>
      <c r="W614" t="s">
        <v>1366</v>
      </c>
      <c r="AA614">
        <v>0</v>
      </c>
      <c r="AB614">
        <v>0</v>
      </c>
      <c r="AD614">
        <v>0</v>
      </c>
      <c r="AE614">
        <v>0</v>
      </c>
      <c r="AF614">
        <v>0</v>
      </c>
      <c r="AG614">
        <v>0</v>
      </c>
    </row>
    <row r="615" spans="1:33">
      <c r="A615" s="1">
        <f>HYPERLINK("https://lsnyc.legalserver.org/matter/dynamic-profile/view/1911094","19-1911094")</f>
        <v>0</v>
      </c>
      <c r="B615" t="s">
        <v>33</v>
      </c>
      <c r="C615" t="s">
        <v>63</v>
      </c>
      <c r="D615" t="s">
        <v>539</v>
      </c>
      <c r="E615" t="s">
        <v>1082</v>
      </c>
      <c r="F615">
        <v>2090</v>
      </c>
      <c r="G615" t="s">
        <v>1178</v>
      </c>
      <c r="I615" t="s">
        <v>1299</v>
      </c>
      <c r="J615">
        <v>2</v>
      </c>
      <c r="K615">
        <v>0</v>
      </c>
      <c r="L615">
        <v>0</v>
      </c>
      <c r="N615">
        <v>68256</v>
      </c>
      <c r="O615">
        <v>10305</v>
      </c>
      <c r="P615" t="s">
        <v>1307</v>
      </c>
      <c r="Q615" t="s">
        <v>1316</v>
      </c>
      <c r="S615" t="s">
        <v>1334</v>
      </c>
      <c r="AA615">
        <v>0</v>
      </c>
      <c r="AB615">
        <v>0</v>
      </c>
      <c r="AD615">
        <v>0</v>
      </c>
      <c r="AE615">
        <v>0</v>
      </c>
      <c r="AF615">
        <v>0</v>
      </c>
      <c r="AG615">
        <v>0</v>
      </c>
    </row>
    <row r="616" spans="1:33">
      <c r="A616" s="1">
        <f>HYPERLINK("https://lsnyc.legalserver.org/matter/dynamic-profile/view/1911235","19-1911235")</f>
        <v>0</v>
      </c>
      <c r="B616" t="s">
        <v>34</v>
      </c>
      <c r="C616" t="s">
        <v>39</v>
      </c>
      <c r="D616" t="s">
        <v>540</v>
      </c>
      <c r="E616" t="s">
        <v>751</v>
      </c>
      <c r="F616">
        <v>2093</v>
      </c>
      <c r="I616" t="s">
        <v>1299</v>
      </c>
      <c r="J616">
        <v>2</v>
      </c>
      <c r="K616">
        <v>0</v>
      </c>
      <c r="L616">
        <v>0</v>
      </c>
      <c r="N616">
        <v>96400</v>
      </c>
      <c r="O616">
        <v>11433</v>
      </c>
      <c r="P616" t="s">
        <v>1308</v>
      </c>
      <c r="Q616" t="s">
        <v>1315</v>
      </c>
      <c r="S616" t="s">
        <v>1332</v>
      </c>
      <c r="AA616">
        <v>0</v>
      </c>
      <c r="AB616">
        <v>0</v>
      </c>
      <c r="AD616">
        <v>0</v>
      </c>
      <c r="AE616">
        <v>0</v>
      </c>
      <c r="AF616">
        <v>0</v>
      </c>
      <c r="AG616">
        <v>0</v>
      </c>
    </row>
    <row r="617" spans="1:33">
      <c r="A617" s="1">
        <f>HYPERLINK("https://lsnyc.legalserver.org/matter/dynamic-profile/view/1911316","19-1911316")</f>
        <v>0</v>
      </c>
      <c r="B617" t="s">
        <v>34</v>
      </c>
      <c r="C617" t="s">
        <v>65</v>
      </c>
      <c r="D617" t="s">
        <v>472</v>
      </c>
      <c r="E617" t="s">
        <v>1083</v>
      </c>
      <c r="F617">
        <v>2093</v>
      </c>
      <c r="G617" t="s">
        <v>1264</v>
      </c>
      <c r="I617" t="s">
        <v>1299</v>
      </c>
      <c r="J617">
        <v>4</v>
      </c>
      <c r="K617">
        <v>0</v>
      </c>
      <c r="L617">
        <v>0</v>
      </c>
      <c r="M617" t="s">
        <v>1301</v>
      </c>
      <c r="N617">
        <v>0</v>
      </c>
      <c r="O617">
        <v>11414</v>
      </c>
      <c r="P617" t="s">
        <v>1308</v>
      </c>
      <c r="Q617" t="s">
        <v>1328</v>
      </c>
      <c r="S617" t="s">
        <v>1332</v>
      </c>
      <c r="AA617">
        <v>0</v>
      </c>
      <c r="AB617">
        <v>0</v>
      </c>
      <c r="AD617">
        <v>0</v>
      </c>
      <c r="AE617">
        <v>0</v>
      </c>
      <c r="AF617">
        <v>0</v>
      </c>
      <c r="AG617">
        <v>0</v>
      </c>
    </row>
    <row r="618" spans="1:33">
      <c r="A618" s="1">
        <f>HYPERLINK("https://lsnyc.legalserver.org/matter/dynamic-profile/view/1911312","19-1911312")</f>
        <v>0</v>
      </c>
      <c r="B618" t="s">
        <v>33</v>
      </c>
      <c r="C618" t="s">
        <v>70</v>
      </c>
      <c r="D618" t="s">
        <v>100</v>
      </c>
      <c r="E618" t="s">
        <v>1084</v>
      </c>
      <c r="F618">
        <v>2090</v>
      </c>
      <c r="I618" t="s">
        <v>1299</v>
      </c>
      <c r="J618">
        <v>3</v>
      </c>
      <c r="K618">
        <v>0</v>
      </c>
      <c r="L618">
        <v>0</v>
      </c>
      <c r="N618">
        <v>45432</v>
      </c>
      <c r="O618">
        <v>10304</v>
      </c>
      <c r="P618" t="s">
        <v>1307</v>
      </c>
      <c r="Q618" t="s">
        <v>1314</v>
      </c>
      <c r="R618" t="s">
        <v>1315</v>
      </c>
      <c r="S618" t="s">
        <v>1332</v>
      </c>
      <c r="W618" t="s">
        <v>1361</v>
      </c>
      <c r="Y618" t="s">
        <v>1366</v>
      </c>
      <c r="AA618">
        <v>0</v>
      </c>
      <c r="AB618">
        <v>0</v>
      </c>
      <c r="AD618">
        <v>0</v>
      </c>
      <c r="AE618">
        <v>0</v>
      </c>
      <c r="AF618">
        <v>0</v>
      </c>
      <c r="AG618">
        <v>0</v>
      </c>
    </row>
    <row r="619" spans="1:33">
      <c r="A619" s="1">
        <f>HYPERLINK("https://lsnyc.legalserver.org/matter/dynamic-profile/view/1908643","19-1908643")</f>
        <v>0</v>
      </c>
      <c r="B619" t="s">
        <v>35</v>
      </c>
      <c r="C619" t="s">
        <v>40</v>
      </c>
      <c r="D619" t="s">
        <v>541</v>
      </c>
      <c r="E619" t="s">
        <v>1085</v>
      </c>
      <c r="F619">
        <v>2091</v>
      </c>
      <c r="G619" t="s">
        <v>1208</v>
      </c>
      <c r="I619" t="s">
        <v>1299</v>
      </c>
      <c r="J619">
        <v>3</v>
      </c>
      <c r="K619">
        <v>0</v>
      </c>
      <c r="L619">
        <v>0</v>
      </c>
      <c r="M619" t="s">
        <v>1301</v>
      </c>
      <c r="N619">
        <v>60000</v>
      </c>
      <c r="O619">
        <v>11234</v>
      </c>
      <c r="P619" t="s">
        <v>1309</v>
      </c>
      <c r="Q619" t="s">
        <v>1314</v>
      </c>
      <c r="S619" t="s">
        <v>1337</v>
      </c>
      <c r="T619" t="s">
        <v>1332</v>
      </c>
      <c r="U619" t="s">
        <v>1353</v>
      </c>
      <c r="W619" t="s">
        <v>1362</v>
      </c>
      <c r="Y619" t="s">
        <v>1366</v>
      </c>
      <c r="AA619">
        <v>0</v>
      </c>
      <c r="AB619">
        <v>0</v>
      </c>
      <c r="AD619">
        <v>0</v>
      </c>
      <c r="AE619">
        <v>0</v>
      </c>
      <c r="AF619">
        <v>0</v>
      </c>
      <c r="AG619">
        <v>0</v>
      </c>
    </row>
    <row r="620" spans="1:33">
      <c r="A620" s="1">
        <f>HYPERLINK("https://lsnyc.legalserver.org/matter/dynamic-profile/view/1911173","19-1911173")</f>
        <v>0</v>
      </c>
      <c r="B620" t="s">
        <v>35</v>
      </c>
      <c r="C620" t="s">
        <v>40</v>
      </c>
      <c r="D620" t="s">
        <v>542</v>
      </c>
      <c r="E620" t="s">
        <v>1086</v>
      </c>
      <c r="F620">
        <v>2091</v>
      </c>
      <c r="G620" t="s">
        <v>1197</v>
      </c>
      <c r="I620" t="s">
        <v>1299</v>
      </c>
      <c r="J620">
        <v>3</v>
      </c>
      <c r="K620">
        <v>3</v>
      </c>
      <c r="L620">
        <v>0</v>
      </c>
      <c r="M620" t="s">
        <v>1302</v>
      </c>
      <c r="N620">
        <v>54000</v>
      </c>
      <c r="O620">
        <v>11223</v>
      </c>
      <c r="P620" t="s">
        <v>1309</v>
      </c>
      <c r="Q620" t="s">
        <v>1322</v>
      </c>
      <c r="R620" t="s">
        <v>1326</v>
      </c>
      <c r="S620" t="s">
        <v>1337</v>
      </c>
      <c r="AA620">
        <v>0</v>
      </c>
      <c r="AB620">
        <v>0</v>
      </c>
      <c r="AD620">
        <v>0</v>
      </c>
      <c r="AE620">
        <v>0</v>
      </c>
      <c r="AF620">
        <v>0</v>
      </c>
      <c r="AG620">
        <v>0</v>
      </c>
    </row>
    <row r="621" spans="1:33">
      <c r="A621" s="1">
        <f>HYPERLINK("https://lsnyc.legalserver.org/matter/dynamic-profile/view/1911579","19-1911579")</f>
        <v>0</v>
      </c>
      <c r="B621" t="s">
        <v>34</v>
      </c>
      <c r="C621" t="s">
        <v>57</v>
      </c>
      <c r="D621" t="s">
        <v>95</v>
      </c>
      <c r="E621" t="s">
        <v>996</v>
      </c>
      <c r="F621">
        <v>2093</v>
      </c>
      <c r="I621" t="s">
        <v>1299</v>
      </c>
      <c r="J621">
        <v>1</v>
      </c>
      <c r="K621">
        <v>0</v>
      </c>
      <c r="L621">
        <v>0</v>
      </c>
      <c r="N621">
        <v>1500</v>
      </c>
      <c r="O621">
        <v>11369</v>
      </c>
      <c r="P621" t="s">
        <v>1308</v>
      </c>
      <c r="Q621" t="s">
        <v>1315</v>
      </c>
      <c r="S621" t="s">
        <v>1336</v>
      </c>
      <c r="AA621">
        <v>0</v>
      </c>
      <c r="AB621">
        <v>0</v>
      </c>
      <c r="AD621">
        <v>0</v>
      </c>
      <c r="AE621">
        <v>0</v>
      </c>
      <c r="AF621">
        <v>0</v>
      </c>
      <c r="AG621">
        <v>0</v>
      </c>
    </row>
    <row r="622" spans="1:33">
      <c r="A622" s="1">
        <f>HYPERLINK("https://lsnyc.legalserver.org/matter/dynamic-profile/view/1912035","19-1912035")</f>
        <v>0</v>
      </c>
      <c r="B622" t="s">
        <v>33</v>
      </c>
      <c r="C622" t="s">
        <v>56</v>
      </c>
      <c r="D622" t="s">
        <v>180</v>
      </c>
      <c r="E622" t="s">
        <v>1038</v>
      </c>
      <c r="F622">
        <v>2090</v>
      </c>
      <c r="I622" t="s">
        <v>1299</v>
      </c>
      <c r="J622">
        <v>1</v>
      </c>
      <c r="K622">
        <v>0</v>
      </c>
      <c r="L622">
        <v>0</v>
      </c>
      <c r="N622">
        <v>15000</v>
      </c>
      <c r="O622">
        <v>10314</v>
      </c>
      <c r="P622" t="s">
        <v>1307</v>
      </c>
      <c r="S622" t="s">
        <v>1337</v>
      </c>
      <c r="AA622">
        <v>0</v>
      </c>
      <c r="AB622">
        <v>0</v>
      </c>
      <c r="AD622">
        <v>0</v>
      </c>
      <c r="AE622">
        <v>0</v>
      </c>
      <c r="AF622">
        <v>0</v>
      </c>
      <c r="AG622">
        <v>0</v>
      </c>
    </row>
    <row r="623" spans="1:33">
      <c r="A623" s="1">
        <f>HYPERLINK("https://lsnyc.legalserver.org/matter/dynamic-profile/view/1908020","19-1908020")</f>
        <v>0</v>
      </c>
      <c r="B623" t="s">
        <v>35</v>
      </c>
      <c r="C623" t="s">
        <v>40</v>
      </c>
      <c r="D623" t="s">
        <v>543</v>
      </c>
      <c r="E623" t="s">
        <v>1087</v>
      </c>
      <c r="F623">
        <v>2091</v>
      </c>
      <c r="G623" t="s">
        <v>990</v>
      </c>
      <c r="I623" t="s">
        <v>1299</v>
      </c>
      <c r="J623">
        <v>1</v>
      </c>
      <c r="K623">
        <v>0</v>
      </c>
      <c r="L623">
        <v>1</v>
      </c>
      <c r="M623" t="s">
        <v>1303</v>
      </c>
      <c r="N623">
        <v>33800</v>
      </c>
      <c r="O623">
        <v>11226</v>
      </c>
      <c r="P623" t="s">
        <v>1309</v>
      </c>
      <c r="Q623" t="s">
        <v>1319</v>
      </c>
      <c r="R623" t="s">
        <v>1324</v>
      </c>
      <c r="S623" t="s">
        <v>1337</v>
      </c>
      <c r="AA623">
        <v>0</v>
      </c>
      <c r="AB623">
        <v>0</v>
      </c>
      <c r="AD623">
        <v>0</v>
      </c>
      <c r="AE623">
        <v>0</v>
      </c>
      <c r="AF623">
        <v>0</v>
      </c>
      <c r="AG623">
        <v>0</v>
      </c>
    </row>
    <row r="624" spans="1:33">
      <c r="A624" s="1">
        <f>HYPERLINK("https://lsnyc.legalserver.org/matter/dynamic-profile/view/1912171","19-1912171")</f>
        <v>0</v>
      </c>
      <c r="B624" t="s">
        <v>36</v>
      </c>
      <c r="C624" t="s">
        <v>59</v>
      </c>
      <c r="D624" t="s">
        <v>457</v>
      </c>
      <c r="E624" t="s">
        <v>1088</v>
      </c>
      <c r="F624">
        <v>2094</v>
      </c>
      <c r="G624" t="s">
        <v>1192</v>
      </c>
      <c r="H624" t="s">
        <v>1178</v>
      </c>
      <c r="I624" t="s">
        <v>1299</v>
      </c>
      <c r="J624">
        <v>1</v>
      </c>
      <c r="K624">
        <v>0</v>
      </c>
      <c r="L624">
        <v>0</v>
      </c>
      <c r="M624" t="s">
        <v>1303</v>
      </c>
      <c r="N624">
        <v>50000</v>
      </c>
      <c r="O624">
        <v>10459</v>
      </c>
      <c r="P624" t="s">
        <v>1310</v>
      </c>
      <c r="Q624" t="s">
        <v>1319</v>
      </c>
      <c r="S624" t="s">
        <v>1332</v>
      </c>
      <c r="T624" t="s">
        <v>1340</v>
      </c>
      <c r="W624" t="s">
        <v>1373</v>
      </c>
      <c r="AA624">
        <v>0</v>
      </c>
      <c r="AB624">
        <v>0</v>
      </c>
      <c r="AD624">
        <v>0</v>
      </c>
      <c r="AE624">
        <v>0</v>
      </c>
      <c r="AF624">
        <v>0</v>
      </c>
      <c r="AG624">
        <v>0</v>
      </c>
    </row>
    <row r="625" spans="1:33">
      <c r="A625" s="1">
        <f>HYPERLINK("https://lsnyc.legalserver.org/matter/dynamic-profile/view/1912313","19-1912313")</f>
        <v>0</v>
      </c>
      <c r="B625" t="s">
        <v>33</v>
      </c>
      <c r="C625" t="s">
        <v>70</v>
      </c>
      <c r="D625" t="s">
        <v>201</v>
      </c>
      <c r="E625" t="s">
        <v>1089</v>
      </c>
      <c r="F625">
        <v>2090</v>
      </c>
      <c r="G625" t="s">
        <v>1197</v>
      </c>
      <c r="H625" t="s">
        <v>1197</v>
      </c>
      <c r="I625" t="s">
        <v>1299</v>
      </c>
      <c r="J625">
        <v>2</v>
      </c>
      <c r="K625">
        <v>2</v>
      </c>
      <c r="L625">
        <v>0</v>
      </c>
      <c r="N625">
        <v>36000</v>
      </c>
      <c r="O625">
        <v>10307</v>
      </c>
      <c r="P625" t="s">
        <v>1307</v>
      </c>
      <c r="Q625" t="s">
        <v>1314</v>
      </c>
      <c r="S625" t="s">
        <v>1336</v>
      </c>
      <c r="W625" t="s">
        <v>1366</v>
      </c>
      <c r="AA625">
        <v>0</v>
      </c>
      <c r="AB625">
        <v>0</v>
      </c>
      <c r="AD625">
        <v>0</v>
      </c>
      <c r="AE625">
        <v>0</v>
      </c>
      <c r="AF625">
        <v>0</v>
      </c>
      <c r="AG625">
        <v>0</v>
      </c>
    </row>
    <row r="626" spans="1:33">
      <c r="A626" s="1">
        <f>HYPERLINK("https://lsnyc.legalserver.org/matter/dynamic-profile/view/1912807","19-1912807")</f>
        <v>0</v>
      </c>
      <c r="B626" t="s">
        <v>36</v>
      </c>
      <c r="C626" t="s">
        <v>46</v>
      </c>
      <c r="D626" t="s">
        <v>544</v>
      </c>
      <c r="E626" t="s">
        <v>1090</v>
      </c>
      <c r="F626">
        <v>2094</v>
      </c>
      <c r="G626" t="s">
        <v>1209</v>
      </c>
      <c r="H626" t="s">
        <v>1209</v>
      </c>
      <c r="I626" t="s">
        <v>1299</v>
      </c>
      <c r="J626">
        <v>2</v>
      </c>
      <c r="K626">
        <v>0</v>
      </c>
      <c r="L626">
        <v>1</v>
      </c>
      <c r="M626" t="s">
        <v>1303</v>
      </c>
      <c r="N626">
        <v>26700</v>
      </c>
      <c r="O626">
        <v>10462</v>
      </c>
      <c r="P626" t="s">
        <v>1310</v>
      </c>
      <c r="Q626" t="s">
        <v>1314</v>
      </c>
      <c r="S626" t="s">
        <v>1332</v>
      </c>
      <c r="T626" t="s">
        <v>1336</v>
      </c>
      <c r="W626" t="s">
        <v>1366</v>
      </c>
      <c r="Y626" t="s">
        <v>1384</v>
      </c>
      <c r="AA626">
        <v>0</v>
      </c>
      <c r="AB626">
        <v>0</v>
      </c>
      <c r="AD626">
        <v>0</v>
      </c>
      <c r="AE626">
        <v>0</v>
      </c>
      <c r="AF626">
        <v>0</v>
      </c>
      <c r="AG626">
        <v>0</v>
      </c>
    </row>
    <row r="627" spans="1:33">
      <c r="A627" s="1">
        <f>HYPERLINK("https://lsnyc.legalserver.org/matter/dynamic-profile/view/1912879","19-1912879")</f>
        <v>0</v>
      </c>
      <c r="B627" t="s">
        <v>36</v>
      </c>
      <c r="C627" t="s">
        <v>46</v>
      </c>
      <c r="D627" t="s">
        <v>545</v>
      </c>
      <c r="E627" t="s">
        <v>1091</v>
      </c>
      <c r="F627">
        <v>2094</v>
      </c>
      <c r="G627" t="s">
        <v>1206</v>
      </c>
      <c r="H627" t="s">
        <v>1180</v>
      </c>
      <c r="I627" t="s">
        <v>1299</v>
      </c>
      <c r="J627">
        <v>2</v>
      </c>
      <c r="K627">
        <v>0</v>
      </c>
      <c r="L627">
        <v>0</v>
      </c>
      <c r="M627" t="s">
        <v>1301</v>
      </c>
      <c r="N627">
        <v>49440</v>
      </c>
      <c r="O627">
        <v>10473</v>
      </c>
      <c r="P627" t="s">
        <v>1310</v>
      </c>
      <c r="Q627" t="s">
        <v>1314</v>
      </c>
      <c r="S627" t="s">
        <v>1336</v>
      </c>
      <c r="W627" t="s">
        <v>1366</v>
      </c>
      <c r="AA627">
        <v>0</v>
      </c>
      <c r="AB627">
        <v>0</v>
      </c>
      <c r="AD627">
        <v>0</v>
      </c>
      <c r="AE627">
        <v>0</v>
      </c>
      <c r="AF627">
        <v>0</v>
      </c>
      <c r="AG627">
        <v>0</v>
      </c>
    </row>
    <row r="628" spans="1:33">
      <c r="A628" s="1">
        <f>HYPERLINK("https://lsnyc.legalserver.org/matter/dynamic-profile/view/1913216","19-1913216")</f>
        <v>0</v>
      </c>
      <c r="B628" t="s">
        <v>34</v>
      </c>
      <c r="C628" t="s">
        <v>44</v>
      </c>
      <c r="D628" t="s">
        <v>546</v>
      </c>
      <c r="E628" t="s">
        <v>1092</v>
      </c>
      <c r="F628">
        <v>2093</v>
      </c>
      <c r="G628" t="s">
        <v>1225</v>
      </c>
      <c r="I628" t="s">
        <v>1299</v>
      </c>
      <c r="J628">
        <v>2</v>
      </c>
      <c r="K628">
        <v>2</v>
      </c>
      <c r="L628">
        <v>0</v>
      </c>
      <c r="M628" t="s">
        <v>1301</v>
      </c>
      <c r="N628">
        <v>66000</v>
      </c>
      <c r="O628">
        <v>11434</v>
      </c>
      <c r="P628" t="s">
        <v>1308</v>
      </c>
      <c r="Q628" t="s">
        <v>1328</v>
      </c>
      <c r="AA628">
        <v>0</v>
      </c>
      <c r="AB628">
        <v>0</v>
      </c>
      <c r="AD628">
        <v>0</v>
      </c>
      <c r="AE628">
        <v>0</v>
      </c>
      <c r="AF628">
        <v>0</v>
      </c>
      <c r="AG628">
        <v>0</v>
      </c>
    </row>
    <row r="629" spans="1:33">
      <c r="A629" s="1">
        <f>HYPERLINK("https://lsnyc.legalserver.org/matter/dynamic-profile/view/1913541","19-1913541")</f>
        <v>0</v>
      </c>
      <c r="B629" t="s">
        <v>36</v>
      </c>
      <c r="C629" t="s">
        <v>59</v>
      </c>
      <c r="D629" t="s">
        <v>531</v>
      </c>
      <c r="E629" t="s">
        <v>1073</v>
      </c>
      <c r="F629">
        <v>2094</v>
      </c>
      <c r="I629" t="s">
        <v>1299</v>
      </c>
      <c r="J629">
        <v>1</v>
      </c>
      <c r="K629">
        <v>0</v>
      </c>
      <c r="L629">
        <v>0</v>
      </c>
      <c r="N629">
        <v>33096</v>
      </c>
      <c r="O629">
        <v>10469</v>
      </c>
      <c r="P629" t="s">
        <v>1310</v>
      </c>
      <c r="S629" t="s">
        <v>1332</v>
      </c>
      <c r="AA629">
        <v>0</v>
      </c>
      <c r="AB629">
        <v>0</v>
      </c>
      <c r="AD629">
        <v>0</v>
      </c>
      <c r="AE629">
        <v>0</v>
      </c>
      <c r="AF629">
        <v>0</v>
      </c>
      <c r="AG629">
        <v>0</v>
      </c>
    </row>
    <row r="630" spans="1:33">
      <c r="A630" s="1">
        <f>HYPERLINK("https://lsnyc.legalserver.org/matter/dynamic-profile/view/1913568","19-1913568")</f>
        <v>0</v>
      </c>
      <c r="B630" t="s">
        <v>33</v>
      </c>
      <c r="C630" t="s">
        <v>70</v>
      </c>
      <c r="D630" t="s">
        <v>547</v>
      </c>
      <c r="E630" t="s">
        <v>700</v>
      </c>
      <c r="F630">
        <v>2090</v>
      </c>
      <c r="I630" t="s">
        <v>1299</v>
      </c>
      <c r="J630">
        <v>3</v>
      </c>
      <c r="K630">
        <v>0</v>
      </c>
      <c r="L630">
        <v>0</v>
      </c>
      <c r="N630">
        <v>74000</v>
      </c>
      <c r="O630">
        <v>10307</v>
      </c>
      <c r="P630" t="s">
        <v>1307</v>
      </c>
      <c r="AA630">
        <v>0</v>
      </c>
      <c r="AB630">
        <v>0</v>
      </c>
      <c r="AD630">
        <v>0</v>
      </c>
      <c r="AE630">
        <v>0</v>
      </c>
      <c r="AF630">
        <v>0</v>
      </c>
      <c r="AG630">
        <v>0</v>
      </c>
    </row>
    <row r="631" spans="1:33">
      <c r="A631" s="1">
        <f>HYPERLINK("https://lsnyc.legalserver.org/matter/dynamic-profile/view/1913836","19-1913836")</f>
        <v>0</v>
      </c>
      <c r="B631" t="s">
        <v>33</v>
      </c>
      <c r="C631" t="s">
        <v>63</v>
      </c>
      <c r="D631" t="s">
        <v>548</v>
      </c>
      <c r="E631" t="s">
        <v>1093</v>
      </c>
      <c r="F631">
        <v>2090</v>
      </c>
      <c r="I631" t="s">
        <v>1299</v>
      </c>
      <c r="J631">
        <v>3</v>
      </c>
      <c r="K631">
        <v>0</v>
      </c>
      <c r="L631">
        <v>0</v>
      </c>
      <c r="N631">
        <v>25080</v>
      </c>
      <c r="O631">
        <v>10303</v>
      </c>
      <c r="P631" t="s">
        <v>1307</v>
      </c>
      <c r="AA631">
        <v>0</v>
      </c>
      <c r="AB631">
        <v>0</v>
      </c>
      <c r="AD631">
        <v>0</v>
      </c>
      <c r="AE631">
        <v>0</v>
      </c>
      <c r="AF631">
        <v>0</v>
      </c>
      <c r="AG631">
        <v>0</v>
      </c>
    </row>
    <row r="632" spans="1:33">
      <c r="A632" s="1">
        <f>HYPERLINK("https://lsnyc.legalserver.org/matter/dynamic-profile/view/1914057","19-1914057")</f>
        <v>0</v>
      </c>
      <c r="B632" t="s">
        <v>34</v>
      </c>
      <c r="C632" t="s">
        <v>54</v>
      </c>
      <c r="D632" t="s">
        <v>549</v>
      </c>
      <c r="E632" t="s">
        <v>751</v>
      </c>
      <c r="F632">
        <v>2093</v>
      </c>
      <c r="I632" t="s">
        <v>1299</v>
      </c>
      <c r="J632">
        <v>3</v>
      </c>
      <c r="K632">
        <v>2</v>
      </c>
      <c r="L632">
        <v>0</v>
      </c>
      <c r="N632">
        <v>41600</v>
      </c>
      <c r="O632">
        <v>11435</v>
      </c>
      <c r="P632" t="s">
        <v>1308</v>
      </c>
      <c r="S632" t="s">
        <v>1336</v>
      </c>
      <c r="AA632">
        <v>0</v>
      </c>
      <c r="AB632">
        <v>0</v>
      </c>
      <c r="AD632">
        <v>0</v>
      </c>
      <c r="AE632">
        <v>0</v>
      </c>
      <c r="AF632">
        <v>0</v>
      </c>
      <c r="AG632">
        <v>0</v>
      </c>
    </row>
    <row r="633" spans="1:33">
      <c r="A633" s="1">
        <f>HYPERLINK("https://lsnyc.legalserver.org/matter/dynamic-profile/view/1914345","19-1914345")</f>
        <v>0</v>
      </c>
      <c r="B633" t="s">
        <v>36</v>
      </c>
      <c r="C633" t="s">
        <v>41</v>
      </c>
      <c r="D633" t="s">
        <v>550</v>
      </c>
      <c r="E633" t="s">
        <v>1094</v>
      </c>
      <c r="F633">
        <v>2094</v>
      </c>
      <c r="G633" t="s">
        <v>1268</v>
      </c>
      <c r="I633" t="s">
        <v>1299</v>
      </c>
      <c r="J633">
        <v>1</v>
      </c>
      <c r="K633">
        <v>0</v>
      </c>
      <c r="L633">
        <v>0</v>
      </c>
      <c r="M633" t="s">
        <v>1303</v>
      </c>
      <c r="N633">
        <v>42700</v>
      </c>
      <c r="O633">
        <v>10462</v>
      </c>
      <c r="P633" t="s">
        <v>1310</v>
      </c>
      <c r="Q633" t="s">
        <v>1326</v>
      </c>
      <c r="AA633">
        <v>0</v>
      </c>
      <c r="AB633">
        <v>0</v>
      </c>
      <c r="AD633">
        <v>0</v>
      </c>
      <c r="AE633">
        <v>0</v>
      </c>
      <c r="AF633">
        <v>0</v>
      </c>
      <c r="AG633">
        <v>0</v>
      </c>
    </row>
    <row r="634" spans="1:33">
      <c r="A634" s="1">
        <f>HYPERLINK("https://lsnyc.legalserver.org/matter/dynamic-profile/view/1914360","19-1914360")</f>
        <v>0</v>
      </c>
      <c r="B634" t="s">
        <v>36</v>
      </c>
      <c r="C634" t="s">
        <v>46</v>
      </c>
      <c r="D634" t="s">
        <v>551</v>
      </c>
      <c r="E634" t="s">
        <v>1095</v>
      </c>
      <c r="F634">
        <v>2094</v>
      </c>
      <c r="G634" t="s">
        <v>1224</v>
      </c>
      <c r="I634" t="s">
        <v>1299</v>
      </c>
      <c r="J634">
        <v>1</v>
      </c>
      <c r="K634">
        <v>0</v>
      </c>
      <c r="L634">
        <v>0</v>
      </c>
      <c r="M634" t="s">
        <v>1304</v>
      </c>
      <c r="N634">
        <v>38568</v>
      </c>
      <c r="O634">
        <v>10473</v>
      </c>
      <c r="P634" t="s">
        <v>1310</v>
      </c>
      <c r="Q634" t="s">
        <v>1321</v>
      </c>
      <c r="R634" t="s">
        <v>1319</v>
      </c>
      <c r="S634" t="s">
        <v>1332</v>
      </c>
      <c r="W634" t="s">
        <v>1361</v>
      </c>
      <c r="AA634">
        <v>0</v>
      </c>
      <c r="AB634">
        <v>0</v>
      </c>
      <c r="AD634">
        <v>0</v>
      </c>
      <c r="AE634">
        <v>0</v>
      </c>
      <c r="AF634">
        <v>0</v>
      </c>
      <c r="AG634">
        <v>0</v>
      </c>
    </row>
    <row r="635" spans="1:33">
      <c r="A635" s="1">
        <f>HYPERLINK("https://lsnyc.legalserver.org/matter/dynamic-profile/view/1914399","19-1914399")</f>
        <v>0</v>
      </c>
      <c r="B635" t="s">
        <v>36</v>
      </c>
      <c r="C635" t="s">
        <v>46</v>
      </c>
      <c r="D635" t="s">
        <v>122</v>
      </c>
      <c r="E635" t="s">
        <v>700</v>
      </c>
      <c r="F635">
        <v>2094</v>
      </c>
      <c r="G635" t="s">
        <v>1208</v>
      </c>
      <c r="I635" t="s">
        <v>1299</v>
      </c>
      <c r="J635">
        <v>3</v>
      </c>
      <c r="K635">
        <v>0</v>
      </c>
      <c r="L635">
        <v>1</v>
      </c>
      <c r="M635" t="s">
        <v>1302</v>
      </c>
      <c r="N635">
        <v>82512</v>
      </c>
      <c r="O635">
        <v>10468</v>
      </c>
      <c r="P635" t="s">
        <v>1310</v>
      </c>
      <c r="Q635" t="s">
        <v>1323</v>
      </c>
      <c r="R635" t="s">
        <v>1326</v>
      </c>
      <c r="S635" t="s">
        <v>1336</v>
      </c>
      <c r="W635" t="s">
        <v>1366</v>
      </c>
      <c r="AA635">
        <v>0</v>
      </c>
      <c r="AB635">
        <v>0</v>
      </c>
      <c r="AD635">
        <v>0</v>
      </c>
      <c r="AE635">
        <v>0</v>
      </c>
      <c r="AF635">
        <v>0</v>
      </c>
      <c r="AG635">
        <v>0</v>
      </c>
    </row>
    <row r="636" spans="1:33">
      <c r="A636" s="1">
        <f>HYPERLINK("https://lsnyc.legalserver.org/matter/dynamic-profile/view/1914443","19-1914443")</f>
        <v>0</v>
      </c>
      <c r="B636" t="s">
        <v>36</v>
      </c>
      <c r="C636" t="s">
        <v>46</v>
      </c>
      <c r="D636" t="s">
        <v>205</v>
      </c>
      <c r="E636" t="s">
        <v>786</v>
      </c>
      <c r="F636">
        <v>2094</v>
      </c>
      <c r="G636" t="s">
        <v>1182</v>
      </c>
      <c r="I636" t="s">
        <v>1299</v>
      </c>
      <c r="J636">
        <v>2</v>
      </c>
      <c r="K636">
        <v>0</v>
      </c>
      <c r="L636">
        <v>1</v>
      </c>
      <c r="M636" t="s">
        <v>1304</v>
      </c>
      <c r="N636">
        <v>48624</v>
      </c>
      <c r="O636">
        <v>10456</v>
      </c>
      <c r="P636" t="s">
        <v>1310</v>
      </c>
      <c r="Q636" t="s">
        <v>1316</v>
      </c>
      <c r="S636" t="s">
        <v>1336</v>
      </c>
      <c r="W636" t="s">
        <v>1366</v>
      </c>
      <c r="AA636">
        <v>0</v>
      </c>
      <c r="AB636">
        <v>0</v>
      </c>
      <c r="AD636">
        <v>0</v>
      </c>
      <c r="AE636">
        <v>0</v>
      </c>
      <c r="AF636">
        <v>0</v>
      </c>
      <c r="AG636">
        <v>0</v>
      </c>
    </row>
    <row r="637" spans="1:33">
      <c r="A637" s="1">
        <f>HYPERLINK("https://lsnyc.legalserver.org/matter/dynamic-profile/view/1914548","19-1914548")</f>
        <v>0</v>
      </c>
      <c r="B637" t="s">
        <v>34</v>
      </c>
      <c r="C637" t="s">
        <v>49</v>
      </c>
      <c r="D637" t="s">
        <v>213</v>
      </c>
      <c r="E637" t="s">
        <v>838</v>
      </c>
      <c r="F637">
        <v>2093</v>
      </c>
      <c r="I637" t="s">
        <v>1299</v>
      </c>
      <c r="J637">
        <v>4</v>
      </c>
      <c r="K637">
        <v>3</v>
      </c>
      <c r="L637">
        <v>0</v>
      </c>
      <c r="N637">
        <v>120000</v>
      </c>
      <c r="O637">
        <v>11434</v>
      </c>
      <c r="P637" t="s">
        <v>1308</v>
      </c>
      <c r="S637" t="s">
        <v>1332</v>
      </c>
      <c r="AA637">
        <v>0</v>
      </c>
      <c r="AB637">
        <v>0</v>
      </c>
      <c r="AD637">
        <v>0</v>
      </c>
      <c r="AE637">
        <v>0</v>
      </c>
      <c r="AF637">
        <v>0</v>
      </c>
      <c r="AG637">
        <v>0</v>
      </c>
    </row>
    <row r="638" spans="1:33">
      <c r="A638" s="1">
        <f>HYPERLINK("https://lsnyc.legalserver.org/matter/dynamic-profile/view/1914915","19-1914915")</f>
        <v>0</v>
      </c>
      <c r="B638" t="s">
        <v>33</v>
      </c>
      <c r="C638" t="s">
        <v>70</v>
      </c>
      <c r="D638" t="s">
        <v>552</v>
      </c>
      <c r="E638" t="s">
        <v>1096</v>
      </c>
      <c r="F638">
        <v>2090</v>
      </c>
      <c r="I638" t="s">
        <v>1299</v>
      </c>
      <c r="J638">
        <v>1</v>
      </c>
      <c r="K638">
        <v>2</v>
      </c>
      <c r="L638">
        <v>0</v>
      </c>
      <c r="N638">
        <v>34000</v>
      </c>
      <c r="O638">
        <v>10301</v>
      </c>
      <c r="P638" t="s">
        <v>1307</v>
      </c>
      <c r="AA638">
        <v>0</v>
      </c>
      <c r="AB638">
        <v>0</v>
      </c>
      <c r="AD638">
        <v>0</v>
      </c>
      <c r="AE638">
        <v>0</v>
      </c>
      <c r="AF638">
        <v>0</v>
      </c>
      <c r="AG638">
        <v>0</v>
      </c>
    </row>
    <row r="639" spans="1:33">
      <c r="A639" s="1">
        <f>HYPERLINK("https://lsnyc.legalserver.org/matter/dynamic-profile/view/1915578","19-1915578")</f>
        <v>0</v>
      </c>
      <c r="B639" t="s">
        <v>34</v>
      </c>
      <c r="C639" t="s">
        <v>39</v>
      </c>
      <c r="D639" t="s">
        <v>553</v>
      </c>
      <c r="E639" t="s">
        <v>1097</v>
      </c>
      <c r="F639">
        <v>2093</v>
      </c>
      <c r="I639" t="s">
        <v>1299</v>
      </c>
      <c r="J639">
        <v>2</v>
      </c>
      <c r="K639">
        <v>2</v>
      </c>
      <c r="L639">
        <v>0</v>
      </c>
      <c r="N639">
        <v>84000</v>
      </c>
      <c r="O639">
        <v>11419</v>
      </c>
      <c r="P639" t="s">
        <v>1308</v>
      </c>
      <c r="AA639">
        <v>0</v>
      </c>
      <c r="AB639">
        <v>0</v>
      </c>
      <c r="AD639">
        <v>0</v>
      </c>
      <c r="AE639">
        <v>0</v>
      </c>
      <c r="AF639">
        <v>0</v>
      </c>
      <c r="AG639">
        <v>0</v>
      </c>
    </row>
    <row r="640" spans="1:33">
      <c r="A640" s="1">
        <f>HYPERLINK("https://lsnyc.legalserver.org/matter/dynamic-profile/view/1915889","19-1915889")</f>
        <v>0</v>
      </c>
      <c r="B640" t="s">
        <v>35</v>
      </c>
      <c r="C640" t="s">
        <v>67</v>
      </c>
      <c r="D640" t="s">
        <v>554</v>
      </c>
      <c r="E640" t="s">
        <v>1098</v>
      </c>
      <c r="F640">
        <v>2091</v>
      </c>
      <c r="G640" t="s">
        <v>1216</v>
      </c>
      <c r="I640" t="s">
        <v>1299</v>
      </c>
      <c r="J640">
        <v>3</v>
      </c>
      <c r="K640">
        <v>0</v>
      </c>
      <c r="L640">
        <v>0</v>
      </c>
      <c r="M640" t="s">
        <v>1301</v>
      </c>
      <c r="N640">
        <v>55000</v>
      </c>
      <c r="O640">
        <v>11226</v>
      </c>
      <c r="P640" t="s">
        <v>1309</v>
      </c>
      <c r="Q640" t="s">
        <v>1319</v>
      </c>
      <c r="S640" t="s">
        <v>1337</v>
      </c>
      <c r="AA640">
        <v>0</v>
      </c>
      <c r="AB640">
        <v>0</v>
      </c>
      <c r="AD640">
        <v>0</v>
      </c>
      <c r="AE640">
        <v>0</v>
      </c>
      <c r="AF640">
        <v>0</v>
      </c>
      <c r="AG640">
        <v>0</v>
      </c>
    </row>
    <row r="641" spans="1:33">
      <c r="A641" s="1">
        <f>HYPERLINK("https://lsnyc.legalserver.org/matter/dynamic-profile/view/1915830","19-1915830")</f>
        <v>0</v>
      </c>
      <c r="B641" t="s">
        <v>33</v>
      </c>
      <c r="C641" t="s">
        <v>70</v>
      </c>
      <c r="D641" t="s">
        <v>126</v>
      </c>
      <c r="E641" t="s">
        <v>1099</v>
      </c>
      <c r="F641">
        <v>2090</v>
      </c>
      <c r="I641" t="s">
        <v>1299</v>
      </c>
      <c r="J641">
        <v>2</v>
      </c>
      <c r="K641">
        <v>0</v>
      </c>
      <c r="L641">
        <v>0</v>
      </c>
      <c r="N641">
        <v>74400</v>
      </c>
      <c r="O641">
        <v>10301</v>
      </c>
      <c r="P641" t="s">
        <v>1307</v>
      </c>
      <c r="AA641">
        <v>0</v>
      </c>
      <c r="AB641">
        <v>0</v>
      </c>
      <c r="AD641">
        <v>0</v>
      </c>
      <c r="AE641">
        <v>0</v>
      </c>
      <c r="AF641">
        <v>0</v>
      </c>
      <c r="AG641">
        <v>0</v>
      </c>
    </row>
    <row r="642" spans="1:33">
      <c r="A642" s="1">
        <f>HYPERLINK("https://lsnyc.legalserver.org/matter/dynamic-profile/view/1916003","19-1916003")</f>
        <v>0</v>
      </c>
      <c r="B642" t="s">
        <v>34</v>
      </c>
      <c r="C642" t="s">
        <v>39</v>
      </c>
      <c r="D642" t="s">
        <v>129</v>
      </c>
      <c r="E642" t="s">
        <v>686</v>
      </c>
      <c r="F642">
        <v>2093</v>
      </c>
      <c r="I642" t="s">
        <v>1299</v>
      </c>
      <c r="J642">
        <v>4</v>
      </c>
      <c r="K642">
        <v>1</v>
      </c>
      <c r="L642">
        <v>0</v>
      </c>
      <c r="N642">
        <v>179300</v>
      </c>
      <c r="O642">
        <v>11377</v>
      </c>
      <c r="P642" t="s">
        <v>1308</v>
      </c>
      <c r="AA642">
        <v>0</v>
      </c>
      <c r="AB642">
        <v>0</v>
      </c>
      <c r="AD642">
        <v>0</v>
      </c>
      <c r="AE642">
        <v>0</v>
      </c>
      <c r="AF642">
        <v>0</v>
      </c>
      <c r="AG642">
        <v>0</v>
      </c>
    </row>
    <row r="643" spans="1:33">
      <c r="A643" s="1">
        <f>HYPERLINK("https://lsnyc.legalserver.org/matter/dynamic-profile/view/1916466","19-1916466")</f>
        <v>0</v>
      </c>
      <c r="B643" t="s">
        <v>36</v>
      </c>
      <c r="C643" t="s">
        <v>46</v>
      </c>
      <c r="D643" t="s">
        <v>141</v>
      </c>
      <c r="E643" t="s">
        <v>1100</v>
      </c>
      <c r="F643">
        <v>2094</v>
      </c>
      <c r="H643" t="s">
        <v>1233</v>
      </c>
      <c r="I643" t="s">
        <v>1299</v>
      </c>
      <c r="J643">
        <v>1</v>
      </c>
      <c r="K643">
        <v>0</v>
      </c>
      <c r="L643">
        <v>0</v>
      </c>
      <c r="M643" t="s">
        <v>1302</v>
      </c>
      <c r="N643">
        <v>94000</v>
      </c>
      <c r="O643">
        <v>10473</v>
      </c>
      <c r="P643" t="s">
        <v>1310</v>
      </c>
      <c r="Q643" t="s">
        <v>1315</v>
      </c>
      <c r="AA643">
        <v>0</v>
      </c>
      <c r="AB643">
        <v>0</v>
      </c>
      <c r="AD643">
        <v>0</v>
      </c>
      <c r="AE643">
        <v>0</v>
      </c>
      <c r="AF643">
        <v>0</v>
      </c>
      <c r="AG643">
        <v>0</v>
      </c>
    </row>
    <row r="644" spans="1:33">
      <c r="A644" s="1">
        <f>HYPERLINK("https://lsnyc.legalserver.org/matter/dynamic-profile/view/1916603","19-1916603")</f>
        <v>0</v>
      </c>
      <c r="B644" t="s">
        <v>34</v>
      </c>
      <c r="C644" t="s">
        <v>68</v>
      </c>
      <c r="D644" t="s">
        <v>555</v>
      </c>
      <c r="E644" t="s">
        <v>1101</v>
      </c>
      <c r="F644">
        <v>2093</v>
      </c>
      <c r="G644" t="s">
        <v>1221</v>
      </c>
      <c r="I644" t="s">
        <v>1299</v>
      </c>
      <c r="J644">
        <v>1</v>
      </c>
      <c r="K644">
        <v>0</v>
      </c>
      <c r="L644">
        <v>0</v>
      </c>
      <c r="M644" t="s">
        <v>1301</v>
      </c>
      <c r="N644">
        <v>16200</v>
      </c>
      <c r="O644">
        <v>11416</v>
      </c>
      <c r="P644" t="s">
        <v>1308</v>
      </c>
      <c r="Q644" t="s">
        <v>1317</v>
      </c>
      <c r="S644" t="s">
        <v>1336</v>
      </c>
      <c r="W644" t="s">
        <v>1366</v>
      </c>
      <c r="AA644">
        <v>0</v>
      </c>
      <c r="AB644">
        <v>0</v>
      </c>
      <c r="AD644">
        <v>0</v>
      </c>
      <c r="AE644">
        <v>0</v>
      </c>
      <c r="AF644">
        <v>0</v>
      </c>
      <c r="AG644">
        <v>0</v>
      </c>
    </row>
    <row r="645" spans="1:33">
      <c r="A645" s="1">
        <f>HYPERLINK("https://lsnyc.legalserver.org/matter/dynamic-profile/view/1917263","19-1917263")</f>
        <v>0</v>
      </c>
      <c r="B645" t="s">
        <v>34</v>
      </c>
      <c r="C645" t="s">
        <v>44</v>
      </c>
      <c r="D645" t="s">
        <v>405</v>
      </c>
      <c r="E645" t="s">
        <v>778</v>
      </c>
      <c r="F645">
        <v>2093</v>
      </c>
      <c r="I645" t="s">
        <v>1299</v>
      </c>
      <c r="J645">
        <v>4</v>
      </c>
      <c r="K645">
        <v>0</v>
      </c>
      <c r="L645">
        <v>1</v>
      </c>
      <c r="N645">
        <v>61300</v>
      </c>
      <c r="O645">
        <v>11416</v>
      </c>
      <c r="P645" t="s">
        <v>1308</v>
      </c>
      <c r="Q645" t="s">
        <v>1322</v>
      </c>
      <c r="AA645">
        <v>0</v>
      </c>
      <c r="AB645">
        <v>0</v>
      </c>
      <c r="AD645">
        <v>0</v>
      </c>
      <c r="AE645">
        <v>0</v>
      </c>
      <c r="AF645">
        <v>0</v>
      </c>
      <c r="AG645">
        <v>0</v>
      </c>
    </row>
    <row r="646" spans="1:33">
      <c r="A646" s="1">
        <f>HYPERLINK("https://lsnyc.legalserver.org/matter/dynamic-profile/view/1913250","19-1913250")</f>
        <v>0</v>
      </c>
      <c r="B646" t="s">
        <v>35</v>
      </c>
      <c r="C646" t="s">
        <v>55</v>
      </c>
      <c r="D646" t="s">
        <v>556</v>
      </c>
      <c r="E646" t="s">
        <v>1102</v>
      </c>
      <c r="F646">
        <v>2091</v>
      </c>
      <c r="G646" t="s">
        <v>1195</v>
      </c>
      <c r="I646" t="s">
        <v>1300</v>
      </c>
      <c r="J646">
        <v>5</v>
      </c>
      <c r="K646">
        <v>2</v>
      </c>
      <c r="L646">
        <v>0</v>
      </c>
      <c r="N646">
        <v>130390</v>
      </c>
      <c r="O646">
        <v>11209</v>
      </c>
      <c r="P646" t="s">
        <v>1309</v>
      </c>
      <c r="Q646" t="s">
        <v>1315</v>
      </c>
      <c r="S646" t="s">
        <v>1337</v>
      </c>
      <c r="W646" t="s">
        <v>1366</v>
      </c>
      <c r="AA646">
        <v>0</v>
      </c>
      <c r="AB646">
        <v>0</v>
      </c>
      <c r="AD646">
        <v>0</v>
      </c>
      <c r="AE646">
        <v>0</v>
      </c>
      <c r="AF646">
        <v>0</v>
      </c>
      <c r="AG646">
        <v>0</v>
      </c>
    </row>
    <row r="647" spans="1:33">
      <c r="A647" s="1">
        <f>HYPERLINK("https://lsnyc.legalserver.org/matter/dynamic-profile/view/1864698","18-1864698")</f>
        <v>0</v>
      </c>
      <c r="B647" t="s">
        <v>33</v>
      </c>
      <c r="C647" t="s">
        <v>38</v>
      </c>
      <c r="D647" t="s">
        <v>294</v>
      </c>
      <c r="E647" t="s">
        <v>1103</v>
      </c>
      <c r="F647">
        <v>2090</v>
      </c>
      <c r="G647" t="s">
        <v>1285</v>
      </c>
      <c r="I647" t="s">
        <v>1300</v>
      </c>
      <c r="J647">
        <v>1</v>
      </c>
      <c r="K647">
        <v>0</v>
      </c>
      <c r="L647">
        <v>1</v>
      </c>
      <c r="M647" t="s">
        <v>1302</v>
      </c>
      <c r="N647">
        <v>11640</v>
      </c>
      <c r="O647">
        <v>10306</v>
      </c>
      <c r="P647" t="s">
        <v>1307</v>
      </c>
      <c r="Q647" t="s">
        <v>1314</v>
      </c>
      <c r="S647" t="s">
        <v>1334</v>
      </c>
      <c r="W647" t="s">
        <v>1366</v>
      </c>
      <c r="AA647">
        <v>0</v>
      </c>
      <c r="AB647">
        <v>0</v>
      </c>
      <c r="AD647">
        <v>0</v>
      </c>
      <c r="AE647">
        <v>0</v>
      </c>
      <c r="AF647">
        <v>0</v>
      </c>
      <c r="AG647">
        <v>0</v>
      </c>
    </row>
    <row r="648" spans="1:33">
      <c r="A648" s="1">
        <f>HYPERLINK("https://lsnyc.legalserver.org/matter/dynamic-profile/view/1833328","17-1833328")</f>
        <v>0</v>
      </c>
      <c r="B648" t="s">
        <v>33</v>
      </c>
      <c r="C648" t="s">
        <v>63</v>
      </c>
      <c r="D648" t="s">
        <v>557</v>
      </c>
      <c r="E648" t="s">
        <v>1104</v>
      </c>
      <c r="F648">
        <v>2090</v>
      </c>
      <c r="G648" t="s">
        <v>1225</v>
      </c>
      <c r="I648" t="s">
        <v>1300</v>
      </c>
      <c r="J648">
        <v>2</v>
      </c>
      <c r="K648">
        <v>0</v>
      </c>
      <c r="L648">
        <v>0</v>
      </c>
      <c r="M648" t="s">
        <v>1303</v>
      </c>
      <c r="N648">
        <v>49400</v>
      </c>
      <c r="O648">
        <v>10314</v>
      </c>
      <c r="P648" t="s">
        <v>1307</v>
      </c>
      <c r="Q648" t="s">
        <v>1315</v>
      </c>
      <c r="S648" t="s">
        <v>1333</v>
      </c>
      <c r="T648" t="s">
        <v>1334</v>
      </c>
      <c r="W648" t="s">
        <v>1370</v>
      </c>
      <c r="Y648" t="s">
        <v>1385</v>
      </c>
      <c r="AA648">
        <v>1774.74</v>
      </c>
      <c r="AB648">
        <v>0</v>
      </c>
      <c r="AC648">
        <v>72547.2</v>
      </c>
      <c r="AD648">
        <v>107988.13</v>
      </c>
      <c r="AE648">
        <v>0</v>
      </c>
      <c r="AF648">
        <v>0</v>
      </c>
      <c r="AG648">
        <v>0</v>
      </c>
    </row>
    <row r="649" spans="1:33">
      <c r="A649" s="1">
        <f>HYPERLINK("https://lsnyc.legalserver.org/matter/dynamic-profile/view/1860467","18-1860467")</f>
        <v>0</v>
      </c>
      <c r="B649" t="s">
        <v>33</v>
      </c>
      <c r="C649" t="s">
        <v>53</v>
      </c>
      <c r="D649" t="s">
        <v>156</v>
      </c>
      <c r="E649" t="s">
        <v>1105</v>
      </c>
      <c r="F649">
        <v>2090</v>
      </c>
      <c r="G649" t="s">
        <v>1286</v>
      </c>
      <c r="I649" t="s">
        <v>1300</v>
      </c>
      <c r="J649">
        <v>2</v>
      </c>
      <c r="K649">
        <v>3</v>
      </c>
      <c r="L649">
        <v>0</v>
      </c>
      <c r="N649">
        <v>29880</v>
      </c>
      <c r="O649">
        <v>10306</v>
      </c>
      <c r="P649" t="s">
        <v>1307</v>
      </c>
      <c r="Q649" t="s">
        <v>1315</v>
      </c>
      <c r="S649" t="s">
        <v>1332</v>
      </c>
      <c r="T649" t="s">
        <v>1333</v>
      </c>
      <c r="W649" t="s">
        <v>1370</v>
      </c>
      <c r="Y649" t="s">
        <v>1378</v>
      </c>
      <c r="AA649">
        <v>0</v>
      </c>
      <c r="AB649">
        <v>0</v>
      </c>
      <c r="AC649">
        <v>60684.11</v>
      </c>
      <c r="AD649">
        <v>0</v>
      </c>
      <c r="AE649">
        <v>0</v>
      </c>
      <c r="AF649">
        <v>0</v>
      </c>
      <c r="AG649">
        <v>0</v>
      </c>
    </row>
    <row r="650" spans="1:33">
      <c r="A650" s="1">
        <f>HYPERLINK("https://lsnyc.legalserver.org/matter/dynamic-profile/view/1872301","18-1872301")</f>
        <v>0</v>
      </c>
      <c r="B650" t="s">
        <v>33</v>
      </c>
      <c r="C650" t="s">
        <v>53</v>
      </c>
      <c r="D650" t="s">
        <v>294</v>
      </c>
      <c r="E650" t="s">
        <v>1106</v>
      </c>
      <c r="F650">
        <v>2090</v>
      </c>
      <c r="G650" t="s">
        <v>1199</v>
      </c>
      <c r="I650" t="s">
        <v>1300</v>
      </c>
      <c r="J650">
        <v>2</v>
      </c>
      <c r="K650">
        <v>0</v>
      </c>
      <c r="L650">
        <v>0</v>
      </c>
      <c r="N650">
        <v>36000</v>
      </c>
      <c r="O650">
        <v>10309</v>
      </c>
      <c r="P650" t="s">
        <v>1307</v>
      </c>
      <c r="Q650" t="s">
        <v>1316</v>
      </c>
      <c r="S650" t="s">
        <v>1337</v>
      </c>
      <c r="T650" t="s">
        <v>1334</v>
      </c>
      <c r="W650" t="s">
        <v>1376</v>
      </c>
      <c r="Y650" t="s">
        <v>1366</v>
      </c>
      <c r="AA650">
        <v>0</v>
      </c>
      <c r="AB650">
        <v>0</v>
      </c>
      <c r="AC650">
        <v>52.23</v>
      </c>
      <c r="AD650">
        <v>0</v>
      </c>
      <c r="AE650">
        <v>0</v>
      </c>
      <c r="AF650">
        <v>0</v>
      </c>
      <c r="AG650">
        <v>0</v>
      </c>
    </row>
    <row r="651" spans="1:33">
      <c r="A651" s="1">
        <f>HYPERLINK("https://lsnyc.legalserver.org/matter/dynamic-profile/view/1901225","19-1901225")</f>
        <v>0</v>
      </c>
      <c r="B651" t="s">
        <v>33</v>
      </c>
      <c r="C651" t="s">
        <v>53</v>
      </c>
      <c r="D651" t="s">
        <v>351</v>
      </c>
      <c r="E651" t="s">
        <v>1107</v>
      </c>
      <c r="F651">
        <v>2090</v>
      </c>
      <c r="G651" t="s">
        <v>1183</v>
      </c>
      <c r="I651" t="s">
        <v>1300</v>
      </c>
      <c r="J651">
        <v>4</v>
      </c>
      <c r="K651">
        <v>2</v>
      </c>
      <c r="L651">
        <v>0</v>
      </c>
      <c r="N651">
        <v>107000</v>
      </c>
      <c r="O651">
        <v>10309</v>
      </c>
      <c r="P651" t="s">
        <v>1307</v>
      </c>
      <c r="Q651" t="s">
        <v>1315</v>
      </c>
      <c r="S651" t="s">
        <v>1337</v>
      </c>
      <c r="W651" t="s">
        <v>1366</v>
      </c>
      <c r="AA651">
        <v>0</v>
      </c>
      <c r="AB651">
        <v>0</v>
      </c>
      <c r="AD651">
        <v>0</v>
      </c>
      <c r="AE651">
        <v>0</v>
      </c>
      <c r="AF651">
        <v>0</v>
      </c>
      <c r="AG651">
        <v>0</v>
      </c>
    </row>
    <row r="652" spans="1:33">
      <c r="A652" s="1">
        <f>HYPERLINK("https://lsnyc.legalserver.org/matter/dynamic-profile/view/1893255","19-1893255")</f>
        <v>0</v>
      </c>
      <c r="B652" t="s">
        <v>34</v>
      </c>
      <c r="C652" t="s">
        <v>42</v>
      </c>
      <c r="D652" t="s">
        <v>335</v>
      </c>
      <c r="E652" t="s">
        <v>1108</v>
      </c>
      <c r="F652">
        <v>2093</v>
      </c>
      <c r="G652" t="s">
        <v>1279</v>
      </c>
      <c r="I652" t="s">
        <v>1300</v>
      </c>
      <c r="J652">
        <v>3</v>
      </c>
      <c r="K652">
        <v>0</v>
      </c>
      <c r="L652">
        <v>0</v>
      </c>
      <c r="M652" t="s">
        <v>1301</v>
      </c>
      <c r="N652">
        <v>33672</v>
      </c>
      <c r="O652">
        <v>11693</v>
      </c>
      <c r="P652" t="s">
        <v>1308</v>
      </c>
      <c r="Q652" t="s">
        <v>1315</v>
      </c>
      <c r="S652" t="s">
        <v>1332</v>
      </c>
      <c r="W652" t="s">
        <v>1376</v>
      </c>
      <c r="Y652" t="s">
        <v>1365</v>
      </c>
      <c r="AA652">
        <v>0</v>
      </c>
      <c r="AB652">
        <v>0</v>
      </c>
      <c r="AD652">
        <v>0</v>
      </c>
      <c r="AE652">
        <v>0</v>
      </c>
      <c r="AF652">
        <v>0</v>
      </c>
      <c r="AG652">
        <v>0</v>
      </c>
    </row>
    <row r="653" spans="1:33">
      <c r="A653" s="1">
        <f>HYPERLINK("https://lsnyc.legalserver.org/matter/dynamic-profile/view/1891150","19-1891150")</f>
        <v>0</v>
      </c>
      <c r="B653" t="s">
        <v>33</v>
      </c>
      <c r="C653" t="s">
        <v>38</v>
      </c>
      <c r="D653" t="s">
        <v>558</v>
      </c>
      <c r="E653" t="s">
        <v>1109</v>
      </c>
      <c r="F653">
        <v>2090</v>
      </c>
      <c r="G653" t="s">
        <v>1191</v>
      </c>
      <c r="I653" t="s">
        <v>1300</v>
      </c>
      <c r="J653">
        <v>1</v>
      </c>
      <c r="K653">
        <v>0</v>
      </c>
      <c r="L653">
        <v>0</v>
      </c>
      <c r="N653">
        <v>36300</v>
      </c>
      <c r="O653">
        <v>10312</v>
      </c>
      <c r="P653" t="s">
        <v>1307</v>
      </c>
      <c r="Q653" t="s">
        <v>1319</v>
      </c>
      <c r="S653" t="s">
        <v>1334</v>
      </c>
      <c r="T653" t="s">
        <v>1336</v>
      </c>
      <c r="W653" t="s">
        <v>1380</v>
      </c>
      <c r="AA653">
        <v>0</v>
      </c>
      <c r="AB653">
        <v>0</v>
      </c>
      <c r="AD653">
        <v>0</v>
      </c>
      <c r="AE653">
        <v>0</v>
      </c>
      <c r="AF653">
        <v>0</v>
      </c>
      <c r="AG653">
        <v>0</v>
      </c>
    </row>
    <row r="654" spans="1:33">
      <c r="A654" s="1">
        <f>HYPERLINK("https://lsnyc.legalserver.org/matter/dynamic-profile/view/1898184","19-1898184")</f>
        <v>0</v>
      </c>
      <c r="B654" t="s">
        <v>34</v>
      </c>
      <c r="C654" t="s">
        <v>54</v>
      </c>
      <c r="D654" t="s">
        <v>559</v>
      </c>
      <c r="E654" t="s">
        <v>629</v>
      </c>
      <c r="F654">
        <v>2093</v>
      </c>
      <c r="I654" t="s">
        <v>1300</v>
      </c>
      <c r="J654">
        <v>1</v>
      </c>
      <c r="K654">
        <v>0</v>
      </c>
      <c r="L654">
        <v>0</v>
      </c>
      <c r="N654">
        <v>28906.92</v>
      </c>
      <c r="O654">
        <v>11423</v>
      </c>
      <c r="P654" t="s">
        <v>1308</v>
      </c>
      <c r="Q654" t="s">
        <v>1325</v>
      </c>
      <c r="S654" t="s">
        <v>1336</v>
      </c>
      <c r="W654" t="s">
        <v>1366</v>
      </c>
      <c r="AA654">
        <v>0</v>
      </c>
      <c r="AB654">
        <v>0</v>
      </c>
      <c r="AD654">
        <v>0</v>
      </c>
      <c r="AE654">
        <v>0</v>
      </c>
      <c r="AF654">
        <v>0</v>
      </c>
      <c r="AG654">
        <v>0</v>
      </c>
    </row>
    <row r="655" spans="1:33">
      <c r="A655" s="1">
        <f>HYPERLINK("https://lsnyc.legalserver.org/matter/dynamic-profile/view/1899255","19-1899255")</f>
        <v>0</v>
      </c>
      <c r="B655" t="s">
        <v>33</v>
      </c>
      <c r="C655" t="s">
        <v>38</v>
      </c>
      <c r="D655" t="s">
        <v>560</v>
      </c>
      <c r="E655" t="s">
        <v>1110</v>
      </c>
      <c r="F655">
        <v>2090</v>
      </c>
      <c r="I655" t="s">
        <v>1300</v>
      </c>
      <c r="J655">
        <v>1</v>
      </c>
      <c r="K655">
        <v>0</v>
      </c>
      <c r="L655">
        <v>0</v>
      </c>
      <c r="M655" t="s">
        <v>1303</v>
      </c>
      <c r="N655">
        <v>14400</v>
      </c>
      <c r="O655">
        <v>10314</v>
      </c>
      <c r="P655" t="s">
        <v>1307</v>
      </c>
      <c r="Q655" t="s">
        <v>1314</v>
      </c>
      <c r="S655" t="s">
        <v>1336</v>
      </c>
      <c r="W655" t="s">
        <v>1366</v>
      </c>
      <c r="AA655">
        <v>0</v>
      </c>
      <c r="AB655">
        <v>0</v>
      </c>
      <c r="AD655">
        <v>0</v>
      </c>
      <c r="AE655">
        <v>0</v>
      </c>
      <c r="AF655">
        <v>0</v>
      </c>
      <c r="AG655">
        <v>0</v>
      </c>
    </row>
    <row r="656" spans="1:33">
      <c r="A656" s="1">
        <f>HYPERLINK("https://lsnyc.legalserver.org/matter/dynamic-profile/view/1912241","19-1912241")</f>
        <v>0</v>
      </c>
      <c r="B656" t="s">
        <v>35</v>
      </c>
      <c r="C656" t="s">
        <v>67</v>
      </c>
      <c r="D656" t="s">
        <v>110</v>
      </c>
      <c r="E656" t="s">
        <v>1111</v>
      </c>
      <c r="F656">
        <v>2091</v>
      </c>
      <c r="G656" t="s">
        <v>1244</v>
      </c>
      <c r="I656" t="s">
        <v>1300</v>
      </c>
      <c r="J656">
        <v>2</v>
      </c>
      <c r="K656">
        <v>0</v>
      </c>
      <c r="L656">
        <v>1</v>
      </c>
      <c r="M656" t="s">
        <v>1302</v>
      </c>
      <c r="N656">
        <v>21264</v>
      </c>
      <c r="O656">
        <v>11235</v>
      </c>
      <c r="P656" t="s">
        <v>1309</v>
      </c>
      <c r="Q656" t="s">
        <v>1314</v>
      </c>
      <c r="S656" t="s">
        <v>1336</v>
      </c>
      <c r="W656" t="s">
        <v>1366</v>
      </c>
      <c r="AA656">
        <v>0</v>
      </c>
      <c r="AB656">
        <v>0</v>
      </c>
      <c r="AD656">
        <v>0</v>
      </c>
      <c r="AE656">
        <v>0</v>
      </c>
      <c r="AF656">
        <v>0</v>
      </c>
      <c r="AG656">
        <v>0</v>
      </c>
    </row>
    <row r="657" spans="1:33">
      <c r="A657" s="1">
        <f>HYPERLINK("https://lsnyc.legalserver.org/matter/dynamic-profile/view/1910563","19-1910563")</f>
        <v>0</v>
      </c>
      <c r="B657" t="s">
        <v>33</v>
      </c>
      <c r="C657" t="s">
        <v>38</v>
      </c>
      <c r="D657" t="s">
        <v>561</v>
      </c>
      <c r="E657" t="s">
        <v>1112</v>
      </c>
      <c r="F657">
        <v>2090</v>
      </c>
      <c r="G657" t="s">
        <v>1183</v>
      </c>
      <c r="I657" t="s">
        <v>1300</v>
      </c>
      <c r="J657">
        <v>3</v>
      </c>
      <c r="K657">
        <v>1</v>
      </c>
      <c r="L657">
        <v>0</v>
      </c>
      <c r="N657">
        <v>37444</v>
      </c>
      <c r="O657">
        <v>10314</v>
      </c>
      <c r="P657" t="s">
        <v>1307</v>
      </c>
      <c r="Q657" t="s">
        <v>1319</v>
      </c>
      <c r="S657" t="s">
        <v>1336</v>
      </c>
      <c r="W657" t="s">
        <v>1366</v>
      </c>
      <c r="AA657">
        <v>0</v>
      </c>
      <c r="AB657">
        <v>0</v>
      </c>
      <c r="AD657">
        <v>0</v>
      </c>
      <c r="AE657">
        <v>0</v>
      </c>
      <c r="AF657">
        <v>0</v>
      </c>
      <c r="AG657">
        <v>0</v>
      </c>
    </row>
    <row r="658" spans="1:33">
      <c r="A658" s="1">
        <f>HYPERLINK("https://lsnyc.legalserver.org/matter/dynamic-profile/view/1906899","19-1906899")</f>
        <v>0</v>
      </c>
      <c r="B658" t="s">
        <v>36</v>
      </c>
      <c r="C658" t="s">
        <v>59</v>
      </c>
      <c r="D658" t="s">
        <v>562</v>
      </c>
      <c r="E658" t="s">
        <v>1113</v>
      </c>
      <c r="F658">
        <v>2094</v>
      </c>
      <c r="G658" t="s">
        <v>1179</v>
      </c>
      <c r="I658" t="s">
        <v>1300</v>
      </c>
      <c r="J658">
        <v>2</v>
      </c>
      <c r="K658">
        <v>0</v>
      </c>
      <c r="L658">
        <v>2</v>
      </c>
      <c r="M658" t="s">
        <v>1301</v>
      </c>
      <c r="N658">
        <v>64112</v>
      </c>
      <c r="O658">
        <v>10465</v>
      </c>
      <c r="P658" t="s">
        <v>1310</v>
      </c>
      <c r="Q658" t="s">
        <v>1315</v>
      </c>
      <c r="S658" t="s">
        <v>1332</v>
      </c>
      <c r="T658" t="s">
        <v>1336</v>
      </c>
      <c r="W658" t="s">
        <v>1361</v>
      </c>
      <c r="Y658" t="s">
        <v>1366</v>
      </c>
      <c r="AA658">
        <v>0</v>
      </c>
      <c r="AB658">
        <v>0</v>
      </c>
      <c r="AD658">
        <v>0</v>
      </c>
      <c r="AE658">
        <v>0</v>
      </c>
      <c r="AF658">
        <v>0</v>
      </c>
      <c r="AG658">
        <v>0</v>
      </c>
    </row>
    <row r="659" spans="1:33">
      <c r="A659" s="1">
        <f>HYPERLINK("https://lsnyc.legalserver.org/matter/dynamic-profile/view/1878333","18-1878333")</f>
        <v>0</v>
      </c>
      <c r="B659" t="s">
        <v>33</v>
      </c>
      <c r="C659" t="s">
        <v>53</v>
      </c>
      <c r="D659" t="s">
        <v>563</v>
      </c>
      <c r="E659" t="s">
        <v>1114</v>
      </c>
      <c r="F659">
        <v>2090</v>
      </c>
      <c r="G659" t="s">
        <v>1215</v>
      </c>
      <c r="I659" t="s">
        <v>1300</v>
      </c>
      <c r="J659">
        <v>2</v>
      </c>
      <c r="K659">
        <v>1</v>
      </c>
      <c r="L659">
        <v>0</v>
      </c>
      <c r="N659">
        <v>84958</v>
      </c>
      <c r="O659">
        <v>10310</v>
      </c>
      <c r="P659" t="s">
        <v>1307</v>
      </c>
      <c r="Q659" t="s">
        <v>1314</v>
      </c>
      <c r="S659" t="s">
        <v>1333</v>
      </c>
      <c r="T659" t="s">
        <v>1334</v>
      </c>
      <c r="W659" t="s">
        <v>1370</v>
      </c>
      <c r="Y659" t="s">
        <v>1378</v>
      </c>
      <c r="AA659">
        <v>0</v>
      </c>
      <c r="AB659">
        <v>0</v>
      </c>
      <c r="AC659">
        <v>46634.17</v>
      </c>
      <c r="AD659">
        <v>0</v>
      </c>
      <c r="AE659">
        <v>0</v>
      </c>
      <c r="AF659">
        <v>0</v>
      </c>
      <c r="AG659">
        <v>0</v>
      </c>
    </row>
    <row r="660" spans="1:33">
      <c r="A660" s="1">
        <f>HYPERLINK("https://lsnyc.legalserver.org/matter/dynamic-profile/view/1885264","18-1885264")</f>
        <v>0</v>
      </c>
      <c r="B660" t="s">
        <v>33</v>
      </c>
      <c r="C660" t="s">
        <v>53</v>
      </c>
      <c r="D660" t="s">
        <v>564</v>
      </c>
      <c r="E660" t="s">
        <v>1115</v>
      </c>
      <c r="F660">
        <v>2090</v>
      </c>
      <c r="G660" t="s">
        <v>1224</v>
      </c>
      <c r="I660" t="s">
        <v>1300</v>
      </c>
      <c r="J660">
        <v>1</v>
      </c>
      <c r="K660">
        <v>0</v>
      </c>
      <c r="L660">
        <v>0</v>
      </c>
      <c r="N660">
        <v>52000</v>
      </c>
      <c r="O660">
        <v>10314</v>
      </c>
      <c r="P660" t="s">
        <v>1307</v>
      </c>
      <c r="Q660" t="s">
        <v>1320</v>
      </c>
      <c r="S660" t="s">
        <v>1334</v>
      </c>
      <c r="T660" t="s">
        <v>1336</v>
      </c>
      <c r="U660" t="s">
        <v>1352</v>
      </c>
      <c r="W660" t="s">
        <v>1360</v>
      </c>
      <c r="Y660" t="s">
        <v>1366</v>
      </c>
      <c r="AA660">
        <v>563.2</v>
      </c>
      <c r="AB660">
        <v>0</v>
      </c>
      <c r="AD660">
        <v>0</v>
      </c>
      <c r="AE660">
        <v>0</v>
      </c>
      <c r="AF660">
        <v>0</v>
      </c>
      <c r="AG660">
        <v>0</v>
      </c>
    </row>
    <row r="661" spans="1:33">
      <c r="A661" s="1">
        <f>HYPERLINK("https://lsnyc.legalserver.org/matter/dynamic-profile/view/0831117","17-0831117")</f>
        <v>0</v>
      </c>
      <c r="B661" t="s">
        <v>33</v>
      </c>
      <c r="C661" t="s">
        <v>38</v>
      </c>
      <c r="D661" t="s">
        <v>250</v>
      </c>
      <c r="E661" t="s">
        <v>1116</v>
      </c>
      <c r="F661">
        <v>2090</v>
      </c>
      <c r="G661" t="s">
        <v>1231</v>
      </c>
      <c r="I661" t="s">
        <v>1300</v>
      </c>
      <c r="J661">
        <v>2</v>
      </c>
      <c r="K661">
        <v>2</v>
      </c>
      <c r="L661">
        <v>0</v>
      </c>
      <c r="N661">
        <v>37200</v>
      </c>
      <c r="O661">
        <v>10306</v>
      </c>
      <c r="P661" t="s">
        <v>1307</v>
      </c>
      <c r="Q661" t="s">
        <v>1315</v>
      </c>
      <c r="S661" t="s">
        <v>1340</v>
      </c>
      <c r="U661" t="s">
        <v>1352</v>
      </c>
      <c r="W661" t="s">
        <v>1360</v>
      </c>
      <c r="AA661">
        <v>2165.5</v>
      </c>
      <c r="AB661">
        <v>0</v>
      </c>
      <c r="AD661">
        <v>31500</v>
      </c>
      <c r="AE661">
        <v>0</v>
      </c>
      <c r="AF661">
        <v>0</v>
      </c>
      <c r="AG661">
        <v>0</v>
      </c>
    </row>
    <row r="662" spans="1:33">
      <c r="A662" s="1">
        <f>HYPERLINK("https://lsnyc.legalserver.org/matter/dynamic-profile/view/1897826","19-1897826")</f>
        <v>0</v>
      </c>
      <c r="B662" t="s">
        <v>33</v>
      </c>
      <c r="C662" t="s">
        <v>56</v>
      </c>
      <c r="D662" t="s">
        <v>565</v>
      </c>
      <c r="E662" t="s">
        <v>1117</v>
      </c>
      <c r="F662">
        <v>2090</v>
      </c>
      <c r="G662" t="s">
        <v>1207</v>
      </c>
      <c r="I662" t="s">
        <v>1300</v>
      </c>
      <c r="J662">
        <v>3</v>
      </c>
      <c r="K662">
        <v>0</v>
      </c>
      <c r="L662">
        <v>0</v>
      </c>
      <c r="M662" t="s">
        <v>1301</v>
      </c>
      <c r="N662">
        <v>35888.4</v>
      </c>
      <c r="O662">
        <v>10305</v>
      </c>
      <c r="P662" t="s">
        <v>1307</v>
      </c>
      <c r="Q662" t="s">
        <v>1316</v>
      </c>
      <c r="S662" t="s">
        <v>1334</v>
      </c>
      <c r="W662" t="s">
        <v>1366</v>
      </c>
      <c r="AA662">
        <v>0</v>
      </c>
      <c r="AB662">
        <v>0</v>
      </c>
      <c r="AD662">
        <v>0</v>
      </c>
      <c r="AE662">
        <v>0</v>
      </c>
      <c r="AF662">
        <v>0</v>
      </c>
      <c r="AG662">
        <v>0</v>
      </c>
    </row>
    <row r="663" spans="1:33">
      <c r="A663" s="1">
        <f>HYPERLINK("https://lsnyc.legalserver.org/matter/dynamic-profile/view/1900536","19-1900536")</f>
        <v>0</v>
      </c>
      <c r="B663" t="s">
        <v>34</v>
      </c>
      <c r="C663" t="s">
        <v>44</v>
      </c>
      <c r="D663" t="s">
        <v>566</v>
      </c>
      <c r="E663" t="s">
        <v>1118</v>
      </c>
      <c r="F663">
        <v>2093</v>
      </c>
      <c r="I663" t="s">
        <v>1300</v>
      </c>
      <c r="J663">
        <v>2</v>
      </c>
      <c r="K663">
        <v>0</v>
      </c>
      <c r="L663">
        <v>2</v>
      </c>
      <c r="M663" t="s">
        <v>1305</v>
      </c>
      <c r="N663">
        <v>38160</v>
      </c>
      <c r="O663">
        <v>11372</v>
      </c>
      <c r="P663" t="s">
        <v>1308</v>
      </c>
      <c r="Q663" t="s">
        <v>1320</v>
      </c>
      <c r="S663" t="s">
        <v>1336</v>
      </c>
      <c r="T663" t="s">
        <v>1343</v>
      </c>
      <c r="W663" t="s">
        <v>1366</v>
      </c>
      <c r="Y663" t="s">
        <v>1381</v>
      </c>
      <c r="AA663">
        <v>0</v>
      </c>
      <c r="AB663">
        <v>0</v>
      </c>
      <c r="AD663">
        <v>0</v>
      </c>
      <c r="AE663">
        <v>0</v>
      </c>
      <c r="AF663">
        <v>0</v>
      </c>
      <c r="AG663">
        <v>0</v>
      </c>
    </row>
    <row r="664" spans="1:33">
      <c r="A664" s="1">
        <f>HYPERLINK("https://lsnyc.legalserver.org/matter/dynamic-profile/view/1906038","19-1906038")</f>
        <v>0</v>
      </c>
      <c r="B664" t="s">
        <v>33</v>
      </c>
      <c r="C664" t="s">
        <v>38</v>
      </c>
      <c r="D664" t="s">
        <v>567</v>
      </c>
      <c r="E664" t="s">
        <v>949</v>
      </c>
      <c r="F664">
        <v>2090</v>
      </c>
      <c r="G664" t="s">
        <v>1210</v>
      </c>
      <c r="I664" t="s">
        <v>1300</v>
      </c>
      <c r="J664">
        <v>3</v>
      </c>
      <c r="K664">
        <v>0</v>
      </c>
      <c r="L664">
        <v>0</v>
      </c>
      <c r="M664" t="s">
        <v>1301</v>
      </c>
      <c r="N664">
        <v>90000</v>
      </c>
      <c r="O664">
        <v>10310</v>
      </c>
      <c r="P664" t="s">
        <v>1307</v>
      </c>
      <c r="Q664" t="s">
        <v>1321</v>
      </c>
      <c r="S664" t="s">
        <v>1336</v>
      </c>
      <c r="W664" t="s">
        <v>1366</v>
      </c>
      <c r="AA664">
        <v>0</v>
      </c>
      <c r="AB664">
        <v>0</v>
      </c>
      <c r="AD664">
        <v>0</v>
      </c>
      <c r="AE664">
        <v>0</v>
      </c>
      <c r="AF664">
        <v>0</v>
      </c>
      <c r="AG664">
        <v>0</v>
      </c>
    </row>
    <row r="665" spans="1:33">
      <c r="A665" s="1">
        <f>HYPERLINK("https://lsnyc.legalserver.org/matter/dynamic-profile/view/0723237","12-0723237")</f>
        <v>0</v>
      </c>
      <c r="B665" t="s">
        <v>33</v>
      </c>
      <c r="C665" t="s">
        <v>38</v>
      </c>
      <c r="D665" t="s">
        <v>278</v>
      </c>
      <c r="E665" t="s">
        <v>1119</v>
      </c>
      <c r="F665">
        <v>2090</v>
      </c>
      <c r="G665" t="s">
        <v>1287</v>
      </c>
      <c r="I665" t="s">
        <v>1300</v>
      </c>
      <c r="J665">
        <v>2</v>
      </c>
      <c r="K665">
        <v>2</v>
      </c>
      <c r="L665">
        <v>0</v>
      </c>
      <c r="N665">
        <v>45132</v>
      </c>
      <c r="O665">
        <v>10305</v>
      </c>
      <c r="P665" t="s">
        <v>1307</v>
      </c>
      <c r="Q665" t="s">
        <v>1314</v>
      </c>
      <c r="S665" t="s">
        <v>1333</v>
      </c>
      <c r="T665" t="s">
        <v>1340</v>
      </c>
      <c r="W665" t="s">
        <v>1375</v>
      </c>
      <c r="Y665" t="s">
        <v>1378</v>
      </c>
      <c r="AA665">
        <v>0</v>
      </c>
      <c r="AB665">
        <v>0</v>
      </c>
      <c r="AD665">
        <v>0</v>
      </c>
      <c r="AE665">
        <v>0</v>
      </c>
      <c r="AF665">
        <v>0</v>
      </c>
      <c r="AG665">
        <v>0</v>
      </c>
    </row>
    <row r="666" spans="1:33">
      <c r="A666" s="1">
        <f>HYPERLINK("https://lsnyc.legalserver.org/matter/dynamic-profile/view/0754437","14-0754437")</f>
        <v>0</v>
      </c>
      <c r="B666" t="s">
        <v>33</v>
      </c>
      <c r="C666" t="s">
        <v>56</v>
      </c>
      <c r="D666" t="s">
        <v>214</v>
      </c>
      <c r="E666" t="s">
        <v>1120</v>
      </c>
      <c r="F666">
        <v>2090</v>
      </c>
      <c r="G666" t="s">
        <v>1199</v>
      </c>
      <c r="I666" t="s">
        <v>1300</v>
      </c>
      <c r="J666">
        <v>2</v>
      </c>
      <c r="K666">
        <v>1</v>
      </c>
      <c r="L666">
        <v>0</v>
      </c>
      <c r="N666">
        <v>34800</v>
      </c>
      <c r="O666">
        <v>10314</v>
      </c>
      <c r="P666" t="s">
        <v>1307</v>
      </c>
      <c r="Q666" t="s">
        <v>1315</v>
      </c>
      <c r="R666" t="s">
        <v>1314</v>
      </c>
      <c r="S666" t="s">
        <v>1338</v>
      </c>
      <c r="T666" t="s">
        <v>1333</v>
      </c>
      <c r="U666" t="s">
        <v>1354</v>
      </c>
      <c r="W666" t="s">
        <v>1366</v>
      </c>
      <c r="Y666" t="s">
        <v>1365</v>
      </c>
      <c r="AA666">
        <v>0</v>
      </c>
      <c r="AB666">
        <v>0</v>
      </c>
      <c r="AD666">
        <v>0</v>
      </c>
      <c r="AE666">
        <v>0</v>
      </c>
      <c r="AF666">
        <v>0</v>
      </c>
      <c r="AG666">
        <v>0</v>
      </c>
    </row>
    <row r="667" spans="1:33">
      <c r="A667" s="1">
        <f>HYPERLINK("https://lsnyc.legalserver.org/matter/dynamic-profile/view/0803424","16-0803424")</f>
        <v>0</v>
      </c>
      <c r="B667" t="s">
        <v>33</v>
      </c>
      <c r="C667" t="s">
        <v>56</v>
      </c>
      <c r="D667" t="s">
        <v>568</v>
      </c>
      <c r="E667" t="s">
        <v>920</v>
      </c>
      <c r="F667">
        <v>2090</v>
      </c>
      <c r="G667" t="s">
        <v>1221</v>
      </c>
      <c r="I667" t="s">
        <v>1300</v>
      </c>
      <c r="J667">
        <v>4</v>
      </c>
      <c r="K667">
        <v>4</v>
      </c>
      <c r="L667">
        <v>0</v>
      </c>
      <c r="M667" t="s">
        <v>1301</v>
      </c>
      <c r="N667">
        <v>21288</v>
      </c>
      <c r="O667">
        <v>10308</v>
      </c>
      <c r="P667" t="s">
        <v>1307</v>
      </c>
      <c r="Q667" t="s">
        <v>1324</v>
      </c>
      <c r="S667" t="s">
        <v>1333</v>
      </c>
      <c r="T667" t="s">
        <v>1332</v>
      </c>
      <c r="W667" t="s">
        <v>1370</v>
      </c>
      <c r="Y667" t="s">
        <v>1361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>
      <c r="A668" s="1">
        <f>HYPERLINK("https://lsnyc.legalserver.org/matter/dynamic-profile/view/0815139","16-0815139")</f>
        <v>0</v>
      </c>
      <c r="B668" t="s">
        <v>35</v>
      </c>
      <c r="C668" t="s">
        <v>40</v>
      </c>
      <c r="D668" t="s">
        <v>394</v>
      </c>
      <c r="E668" t="s">
        <v>1121</v>
      </c>
      <c r="F668">
        <v>2091</v>
      </c>
      <c r="G668" t="s">
        <v>1191</v>
      </c>
      <c r="I668" t="s">
        <v>1300</v>
      </c>
      <c r="J668">
        <v>1</v>
      </c>
      <c r="K668">
        <v>2</v>
      </c>
      <c r="L668">
        <v>0</v>
      </c>
      <c r="M668" t="s">
        <v>1301</v>
      </c>
      <c r="N668">
        <v>13200</v>
      </c>
      <c r="O668">
        <v>11229</v>
      </c>
      <c r="P668" t="s">
        <v>1309</v>
      </c>
      <c r="Q668" t="s">
        <v>1325</v>
      </c>
      <c r="R668" t="s">
        <v>1315</v>
      </c>
      <c r="S668" t="s">
        <v>1338</v>
      </c>
      <c r="T668" t="s">
        <v>1336</v>
      </c>
      <c r="W668" t="s">
        <v>1365</v>
      </c>
      <c r="Y668" t="s">
        <v>1366</v>
      </c>
      <c r="AA668">
        <v>0</v>
      </c>
      <c r="AB668">
        <v>0</v>
      </c>
      <c r="AD668">
        <v>0</v>
      </c>
      <c r="AE668">
        <v>0</v>
      </c>
      <c r="AF668">
        <v>0</v>
      </c>
      <c r="AG668">
        <v>0</v>
      </c>
    </row>
    <row r="669" spans="1:33">
      <c r="A669" s="1">
        <f>HYPERLINK("https://lsnyc.legalserver.org/matter/dynamic-profile/view/0818191","16-0818191")</f>
        <v>0</v>
      </c>
      <c r="B669" t="s">
        <v>34</v>
      </c>
      <c r="C669" t="s">
        <v>57</v>
      </c>
      <c r="D669" t="s">
        <v>465</v>
      </c>
      <c r="E669" t="s">
        <v>1122</v>
      </c>
      <c r="F669">
        <v>2093</v>
      </c>
      <c r="I669" t="s">
        <v>1300</v>
      </c>
      <c r="J669">
        <v>1</v>
      </c>
      <c r="K669">
        <v>0</v>
      </c>
      <c r="L669">
        <v>1</v>
      </c>
      <c r="M669" t="s">
        <v>1305</v>
      </c>
      <c r="N669">
        <v>7872</v>
      </c>
      <c r="O669">
        <v>11355</v>
      </c>
      <c r="P669" t="s">
        <v>1308</v>
      </c>
      <c r="Q669" t="s">
        <v>1320</v>
      </c>
      <c r="S669" t="s">
        <v>1337</v>
      </c>
      <c r="T669" t="s">
        <v>1338</v>
      </c>
      <c r="W669" t="s">
        <v>1366</v>
      </c>
      <c r="Y669" t="s">
        <v>1361</v>
      </c>
      <c r="AA669">
        <v>0</v>
      </c>
      <c r="AB669">
        <v>0</v>
      </c>
      <c r="AD669">
        <v>0</v>
      </c>
      <c r="AE669">
        <v>0</v>
      </c>
      <c r="AF669">
        <v>0</v>
      </c>
      <c r="AG669">
        <v>0</v>
      </c>
    </row>
    <row r="670" spans="1:33">
      <c r="A670" s="1">
        <f>HYPERLINK("https://lsnyc.legalserver.org/matter/dynamic-profile/view/0819440","16-0819440")</f>
        <v>0</v>
      </c>
      <c r="B670" t="s">
        <v>33</v>
      </c>
      <c r="C670" t="s">
        <v>70</v>
      </c>
      <c r="D670" t="s">
        <v>569</v>
      </c>
      <c r="E670" t="s">
        <v>1123</v>
      </c>
      <c r="F670">
        <v>2090</v>
      </c>
      <c r="G670" t="s">
        <v>1182</v>
      </c>
      <c r="I670" t="s">
        <v>1300</v>
      </c>
      <c r="J670">
        <v>3</v>
      </c>
      <c r="K670">
        <v>0</v>
      </c>
      <c r="L670">
        <v>0</v>
      </c>
      <c r="M670" t="s">
        <v>1301</v>
      </c>
      <c r="N670">
        <v>10608</v>
      </c>
      <c r="O670">
        <v>10309</v>
      </c>
      <c r="P670" t="s">
        <v>1307</v>
      </c>
      <c r="Q670" t="s">
        <v>1328</v>
      </c>
      <c r="S670" t="s">
        <v>1336</v>
      </c>
      <c r="W670" t="s">
        <v>1366</v>
      </c>
      <c r="AA670">
        <v>0</v>
      </c>
      <c r="AB670">
        <v>0</v>
      </c>
      <c r="AD670">
        <v>0</v>
      </c>
      <c r="AE670">
        <v>0</v>
      </c>
      <c r="AF670">
        <v>0</v>
      </c>
      <c r="AG670">
        <v>0</v>
      </c>
    </row>
    <row r="671" spans="1:33">
      <c r="A671" s="1">
        <f>HYPERLINK("https://lsnyc.legalserver.org/matter/dynamic-profile/view/0827887","17-0827887")</f>
        <v>0</v>
      </c>
      <c r="B671" t="s">
        <v>33</v>
      </c>
      <c r="C671" t="s">
        <v>56</v>
      </c>
      <c r="D671" t="s">
        <v>202</v>
      </c>
      <c r="E671" t="s">
        <v>1124</v>
      </c>
      <c r="F671">
        <v>2090</v>
      </c>
      <c r="G671" t="s">
        <v>1181</v>
      </c>
      <c r="I671" t="s">
        <v>1300</v>
      </c>
      <c r="J671">
        <v>2</v>
      </c>
      <c r="K671">
        <v>0</v>
      </c>
      <c r="L671">
        <v>0</v>
      </c>
      <c r="M671" t="s">
        <v>1303</v>
      </c>
      <c r="N671">
        <v>28200</v>
      </c>
      <c r="O671">
        <v>10314</v>
      </c>
      <c r="P671" t="s">
        <v>1307</v>
      </c>
      <c r="Q671" t="s">
        <v>1326</v>
      </c>
      <c r="S671" t="s">
        <v>1332</v>
      </c>
      <c r="W671" t="s">
        <v>1361</v>
      </c>
      <c r="AA671">
        <v>0</v>
      </c>
      <c r="AB671">
        <v>0</v>
      </c>
      <c r="AD671">
        <v>0</v>
      </c>
      <c r="AE671">
        <v>0</v>
      </c>
      <c r="AF671">
        <v>0</v>
      </c>
      <c r="AG671">
        <v>0</v>
      </c>
    </row>
    <row r="672" spans="1:33">
      <c r="A672" s="1">
        <f>HYPERLINK("https://lsnyc.legalserver.org/matter/dynamic-profile/view/0827318","17-0827318")</f>
        <v>0</v>
      </c>
      <c r="B672" t="s">
        <v>33</v>
      </c>
      <c r="C672" t="s">
        <v>63</v>
      </c>
      <c r="D672" t="s">
        <v>202</v>
      </c>
      <c r="E672" t="s">
        <v>732</v>
      </c>
      <c r="F672">
        <v>2090</v>
      </c>
      <c r="G672" t="s">
        <v>1213</v>
      </c>
      <c r="I672" t="s">
        <v>1300</v>
      </c>
      <c r="J672">
        <v>2</v>
      </c>
      <c r="K672">
        <v>2</v>
      </c>
      <c r="L672">
        <v>0</v>
      </c>
      <c r="M672" t="s">
        <v>1301</v>
      </c>
      <c r="N672">
        <v>25000</v>
      </c>
      <c r="O672">
        <v>10306</v>
      </c>
      <c r="P672" t="s">
        <v>1307</v>
      </c>
      <c r="Q672" t="s">
        <v>1315</v>
      </c>
      <c r="S672" t="s">
        <v>1338</v>
      </c>
      <c r="T672" t="s">
        <v>1332</v>
      </c>
      <c r="U672" t="s">
        <v>1357</v>
      </c>
      <c r="W672" t="s">
        <v>1362</v>
      </c>
      <c r="Y672" t="s">
        <v>1383</v>
      </c>
      <c r="AA672">
        <v>0</v>
      </c>
      <c r="AB672">
        <v>0</v>
      </c>
      <c r="AD672">
        <v>0</v>
      </c>
      <c r="AE672">
        <v>0</v>
      </c>
      <c r="AF672">
        <v>0</v>
      </c>
      <c r="AG672">
        <v>0</v>
      </c>
    </row>
    <row r="673" spans="1:33">
      <c r="A673" s="1">
        <f>HYPERLINK("https://lsnyc.legalserver.org/matter/dynamic-profile/view/1838670","17-1838670")</f>
        <v>0</v>
      </c>
      <c r="B673" t="s">
        <v>33</v>
      </c>
      <c r="C673" t="s">
        <v>56</v>
      </c>
      <c r="D673" t="s">
        <v>570</v>
      </c>
      <c r="E673" t="s">
        <v>1107</v>
      </c>
      <c r="F673">
        <v>2090</v>
      </c>
      <c r="G673" t="s">
        <v>1191</v>
      </c>
      <c r="I673" t="s">
        <v>1300</v>
      </c>
      <c r="J673">
        <v>4</v>
      </c>
      <c r="K673">
        <v>0</v>
      </c>
      <c r="L673">
        <v>0</v>
      </c>
      <c r="M673" t="s">
        <v>1302</v>
      </c>
      <c r="N673">
        <v>50000</v>
      </c>
      <c r="O673">
        <v>10306</v>
      </c>
      <c r="P673" t="s">
        <v>1307</v>
      </c>
      <c r="Q673" t="s">
        <v>1327</v>
      </c>
      <c r="S673" t="s">
        <v>1333</v>
      </c>
      <c r="T673" t="s">
        <v>1334</v>
      </c>
      <c r="W673" t="s">
        <v>1376</v>
      </c>
      <c r="Y673" t="s">
        <v>1366</v>
      </c>
      <c r="AA673">
        <v>0</v>
      </c>
      <c r="AB673">
        <v>0</v>
      </c>
      <c r="AD673">
        <v>0</v>
      </c>
      <c r="AE673">
        <v>0</v>
      </c>
      <c r="AF673">
        <v>0</v>
      </c>
      <c r="AG673">
        <v>0</v>
      </c>
    </row>
    <row r="674" spans="1:33">
      <c r="A674" s="1">
        <f>HYPERLINK("https://lsnyc.legalserver.org/matter/dynamic-profile/view/1840194","17-1840194")</f>
        <v>0</v>
      </c>
      <c r="B674" t="s">
        <v>33</v>
      </c>
      <c r="C674" t="s">
        <v>56</v>
      </c>
      <c r="D674" t="s">
        <v>351</v>
      </c>
      <c r="E674" t="s">
        <v>1125</v>
      </c>
      <c r="F674">
        <v>2090</v>
      </c>
      <c r="G674" t="s">
        <v>1179</v>
      </c>
      <c r="I674" t="s">
        <v>1300</v>
      </c>
      <c r="J674">
        <v>2</v>
      </c>
      <c r="K674">
        <v>3</v>
      </c>
      <c r="L674">
        <v>1</v>
      </c>
      <c r="M674" t="s">
        <v>1301</v>
      </c>
      <c r="N674">
        <v>48452</v>
      </c>
      <c r="O674">
        <v>10306</v>
      </c>
      <c r="P674" t="s">
        <v>1307</v>
      </c>
      <c r="Q674" t="s">
        <v>1325</v>
      </c>
      <c r="R674" t="s">
        <v>1315</v>
      </c>
      <c r="S674" t="s">
        <v>1333</v>
      </c>
      <c r="T674" t="s">
        <v>1340</v>
      </c>
      <c r="U674" t="s">
        <v>1358</v>
      </c>
      <c r="W674" t="s">
        <v>1366</v>
      </c>
      <c r="AA674">
        <v>0</v>
      </c>
      <c r="AB674">
        <v>0</v>
      </c>
      <c r="AD674">
        <v>0</v>
      </c>
      <c r="AE674">
        <v>0</v>
      </c>
      <c r="AF674">
        <v>0</v>
      </c>
      <c r="AG674">
        <v>0</v>
      </c>
    </row>
    <row r="675" spans="1:33">
      <c r="A675" s="1">
        <f>HYPERLINK("https://lsnyc.legalserver.org/matter/dynamic-profile/view/1845128","17-1845128")</f>
        <v>0</v>
      </c>
      <c r="B675" t="s">
        <v>35</v>
      </c>
      <c r="C675" t="s">
        <v>61</v>
      </c>
      <c r="D675" t="s">
        <v>571</v>
      </c>
      <c r="E675" t="s">
        <v>1126</v>
      </c>
      <c r="F675">
        <v>2091</v>
      </c>
      <c r="I675" t="s">
        <v>1300</v>
      </c>
      <c r="J675">
        <v>2</v>
      </c>
      <c r="K675">
        <v>8</v>
      </c>
      <c r="L675">
        <v>0</v>
      </c>
      <c r="N675">
        <v>195000</v>
      </c>
      <c r="O675">
        <v>11218</v>
      </c>
      <c r="P675" t="s">
        <v>1309</v>
      </c>
      <c r="Q675" t="s">
        <v>1314</v>
      </c>
      <c r="S675" t="s">
        <v>1333</v>
      </c>
      <c r="T675" t="s">
        <v>1334</v>
      </c>
      <c r="W675" t="s">
        <v>1366</v>
      </c>
      <c r="AA675">
        <v>0</v>
      </c>
      <c r="AB675">
        <v>0</v>
      </c>
      <c r="AD675">
        <v>0</v>
      </c>
      <c r="AE675">
        <v>0</v>
      </c>
      <c r="AF675">
        <v>0</v>
      </c>
      <c r="AG675">
        <v>0</v>
      </c>
    </row>
    <row r="676" spans="1:33">
      <c r="A676" s="1">
        <f>HYPERLINK("https://lsnyc.legalserver.org/matter/dynamic-profile/view/1849364","17-1849364")</f>
        <v>0</v>
      </c>
      <c r="B676" t="s">
        <v>33</v>
      </c>
      <c r="C676" t="s">
        <v>38</v>
      </c>
      <c r="D676" t="s">
        <v>572</v>
      </c>
      <c r="E676" t="s">
        <v>1127</v>
      </c>
      <c r="F676">
        <v>2090</v>
      </c>
      <c r="G676" t="s">
        <v>1204</v>
      </c>
      <c r="H676" t="s">
        <v>1282</v>
      </c>
      <c r="I676" t="s">
        <v>1300</v>
      </c>
      <c r="J676">
        <v>2</v>
      </c>
      <c r="K676">
        <v>0</v>
      </c>
      <c r="L676">
        <v>2</v>
      </c>
      <c r="N676">
        <v>41844</v>
      </c>
      <c r="O676">
        <v>10308</v>
      </c>
      <c r="P676" t="s">
        <v>1307</v>
      </c>
      <c r="Q676" t="s">
        <v>1316</v>
      </c>
      <c r="R676" t="s">
        <v>1318</v>
      </c>
      <c r="S676" t="s">
        <v>1334</v>
      </c>
      <c r="T676" t="s">
        <v>1337</v>
      </c>
      <c r="W676" t="s">
        <v>1375</v>
      </c>
      <c r="Y676" t="s">
        <v>1366</v>
      </c>
      <c r="AA676">
        <v>0</v>
      </c>
      <c r="AB676">
        <v>0</v>
      </c>
      <c r="AD676">
        <v>0</v>
      </c>
      <c r="AE676">
        <v>0</v>
      </c>
      <c r="AF676">
        <v>0</v>
      </c>
      <c r="AG676">
        <v>0</v>
      </c>
    </row>
    <row r="677" spans="1:33">
      <c r="A677" s="1">
        <f>HYPERLINK("https://lsnyc.legalserver.org/matter/dynamic-profile/view/1858304","18-1858304")</f>
        <v>0</v>
      </c>
      <c r="B677" t="s">
        <v>34</v>
      </c>
      <c r="C677" t="s">
        <v>57</v>
      </c>
      <c r="D677" t="s">
        <v>573</v>
      </c>
      <c r="E677" t="s">
        <v>1128</v>
      </c>
      <c r="F677">
        <v>2093</v>
      </c>
      <c r="G677" t="s">
        <v>1184</v>
      </c>
      <c r="H677" t="s">
        <v>1200</v>
      </c>
      <c r="I677" t="s">
        <v>1300</v>
      </c>
      <c r="J677">
        <v>4</v>
      </c>
      <c r="K677">
        <v>2</v>
      </c>
      <c r="L677">
        <v>2</v>
      </c>
      <c r="M677" t="s">
        <v>1302</v>
      </c>
      <c r="N677">
        <v>14112</v>
      </c>
      <c r="O677">
        <v>11377</v>
      </c>
      <c r="P677" t="s">
        <v>1308</v>
      </c>
      <c r="Q677" t="s">
        <v>1320</v>
      </c>
      <c r="R677" t="s">
        <v>1317</v>
      </c>
      <c r="S677" t="s">
        <v>1336</v>
      </c>
      <c r="W677" t="s">
        <v>1366</v>
      </c>
      <c r="AA677">
        <v>0</v>
      </c>
      <c r="AB677">
        <v>0</v>
      </c>
      <c r="AD677">
        <v>0</v>
      </c>
      <c r="AE677">
        <v>0</v>
      </c>
      <c r="AF677">
        <v>0</v>
      </c>
      <c r="AG677">
        <v>0</v>
      </c>
    </row>
    <row r="678" spans="1:33">
      <c r="A678" s="1">
        <f>HYPERLINK("https://lsnyc.legalserver.org/matter/dynamic-profile/view/1858639","18-1858639")</f>
        <v>0</v>
      </c>
      <c r="B678" t="s">
        <v>34</v>
      </c>
      <c r="C678" t="s">
        <v>44</v>
      </c>
      <c r="D678" t="s">
        <v>190</v>
      </c>
      <c r="E678" t="s">
        <v>718</v>
      </c>
      <c r="F678">
        <v>2093</v>
      </c>
      <c r="G678" t="s">
        <v>1243</v>
      </c>
      <c r="I678" t="s">
        <v>1300</v>
      </c>
      <c r="J678">
        <v>1</v>
      </c>
      <c r="K678">
        <v>0</v>
      </c>
      <c r="L678">
        <v>1</v>
      </c>
      <c r="M678" t="s">
        <v>1304</v>
      </c>
      <c r="N678">
        <v>51912</v>
      </c>
      <c r="O678">
        <v>11694</v>
      </c>
      <c r="P678" t="s">
        <v>1308</v>
      </c>
      <c r="Q678" t="s">
        <v>1320</v>
      </c>
      <c r="R678" t="s">
        <v>1324</v>
      </c>
      <c r="S678" t="s">
        <v>1334</v>
      </c>
      <c r="T678" t="s">
        <v>1339</v>
      </c>
      <c r="W678" t="s">
        <v>1365</v>
      </c>
      <c r="Y678" t="s">
        <v>1366</v>
      </c>
      <c r="AA678">
        <v>0</v>
      </c>
      <c r="AB678">
        <v>0</v>
      </c>
      <c r="AD678">
        <v>0</v>
      </c>
      <c r="AE678">
        <v>0</v>
      </c>
      <c r="AF678">
        <v>0</v>
      </c>
      <c r="AG678">
        <v>0</v>
      </c>
    </row>
    <row r="679" spans="1:33">
      <c r="A679" s="1">
        <f>HYPERLINK("https://lsnyc.legalserver.org/matter/dynamic-profile/view/1862217","18-1862217")</f>
        <v>0</v>
      </c>
      <c r="B679" t="s">
        <v>33</v>
      </c>
      <c r="C679" t="s">
        <v>53</v>
      </c>
      <c r="D679" t="s">
        <v>574</v>
      </c>
      <c r="E679" t="s">
        <v>1129</v>
      </c>
      <c r="F679">
        <v>2090</v>
      </c>
      <c r="G679" t="s">
        <v>1288</v>
      </c>
      <c r="I679" t="s">
        <v>1300</v>
      </c>
      <c r="J679">
        <v>2</v>
      </c>
      <c r="K679">
        <v>0</v>
      </c>
      <c r="L679">
        <v>0</v>
      </c>
      <c r="N679">
        <v>34724</v>
      </c>
      <c r="O679">
        <v>10312</v>
      </c>
      <c r="P679" t="s">
        <v>1307</v>
      </c>
      <c r="Q679" t="s">
        <v>1319</v>
      </c>
      <c r="S679" t="s">
        <v>1338</v>
      </c>
      <c r="W679" t="s">
        <v>1362</v>
      </c>
      <c r="AA679">
        <v>0</v>
      </c>
      <c r="AB679">
        <v>0</v>
      </c>
      <c r="AD679">
        <v>0</v>
      </c>
      <c r="AE679">
        <v>0</v>
      </c>
      <c r="AF679">
        <v>0</v>
      </c>
      <c r="AG679">
        <v>0</v>
      </c>
    </row>
    <row r="680" spans="1:33">
      <c r="A680" s="1">
        <f>HYPERLINK("https://lsnyc.legalserver.org/matter/dynamic-profile/view/1871374","18-1871374")</f>
        <v>0</v>
      </c>
      <c r="B680" t="s">
        <v>34</v>
      </c>
      <c r="C680" t="s">
        <v>44</v>
      </c>
      <c r="D680" t="s">
        <v>199</v>
      </c>
      <c r="E680" t="s">
        <v>1130</v>
      </c>
      <c r="F680">
        <v>2093</v>
      </c>
      <c r="G680" t="s">
        <v>1237</v>
      </c>
      <c r="I680" t="s">
        <v>1300</v>
      </c>
      <c r="J680">
        <v>2</v>
      </c>
      <c r="K680">
        <v>0</v>
      </c>
      <c r="L680">
        <v>1</v>
      </c>
      <c r="M680" t="s">
        <v>1301</v>
      </c>
      <c r="N680">
        <v>66000</v>
      </c>
      <c r="O680">
        <v>11693</v>
      </c>
      <c r="P680" t="s">
        <v>1308</v>
      </c>
      <c r="Q680" t="s">
        <v>1314</v>
      </c>
      <c r="S680" t="s">
        <v>1340</v>
      </c>
      <c r="U680" t="s">
        <v>1354</v>
      </c>
      <c r="AA680">
        <v>0</v>
      </c>
      <c r="AB680">
        <v>0</v>
      </c>
      <c r="AD680">
        <v>0</v>
      </c>
      <c r="AE680">
        <v>0</v>
      </c>
      <c r="AF680">
        <v>0</v>
      </c>
      <c r="AG680">
        <v>0</v>
      </c>
    </row>
    <row r="681" spans="1:33">
      <c r="A681" s="1">
        <f>HYPERLINK("https://lsnyc.legalserver.org/matter/dynamic-profile/view/1870156","18-1870156")</f>
        <v>0</v>
      </c>
      <c r="B681" t="s">
        <v>33</v>
      </c>
      <c r="C681" t="s">
        <v>63</v>
      </c>
      <c r="D681" t="s">
        <v>275</v>
      </c>
      <c r="E681" t="s">
        <v>794</v>
      </c>
      <c r="F681">
        <v>2090</v>
      </c>
      <c r="G681" t="s">
        <v>1215</v>
      </c>
      <c r="I681" t="s">
        <v>1300</v>
      </c>
      <c r="J681">
        <v>1</v>
      </c>
      <c r="K681">
        <v>0</v>
      </c>
      <c r="L681">
        <v>0</v>
      </c>
      <c r="N681">
        <v>11940</v>
      </c>
      <c r="O681">
        <v>10312</v>
      </c>
      <c r="P681" t="s">
        <v>1307</v>
      </c>
      <c r="Q681" t="s">
        <v>1325</v>
      </c>
      <c r="S681" t="s">
        <v>1338</v>
      </c>
      <c r="AA681">
        <v>0</v>
      </c>
      <c r="AB681">
        <v>0</v>
      </c>
      <c r="AD681">
        <v>0</v>
      </c>
      <c r="AE681">
        <v>0</v>
      </c>
      <c r="AF681">
        <v>0</v>
      </c>
      <c r="AG681">
        <v>0</v>
      </c>
    </row>
    <row r="682" spans="1:33">
      <c r="A682" s="1">
        <f>HYPERLINK("https://lsnyc.legalserver.org/matter/dynamic-profile/view/1872803","18-1872803")</f>
        <v>0</v>
      </c>
      <c r="B682" t="s">
        <v>33</v>
      </c>
      <c r="C682" t="s">
        <v>53</v>
      </c>
      <c r="D682" t="s">
        <v>574</v>
      </c>
      <c r="E682" t="s">
        <v>1129</v>
      </c>
      <c r="F682">
        <v>2090</v>
      </c>
      <c r="G682" t="s">
        <v>1288</v>
      </c>
      <c r="I682" t="s">
        <v>1300</v>
      </c>
      <c r="J682">
        <v>2</v>
      </c>
      <c r="K682">
        <v>0</v>
      </c>
      <c r="L682">
        <v>0</v>
      </c>
      <c r="N682">
        <v>34724</v>
      </c>
      <c r="O682">
        <v>10312</v>
      </c>
      <c r="P682" t="s">
        <v>1307</v>
      </c>
      <c r="Q682" t="s">
        <v>1322</v>
      </c>
      <c r="S682" t="s">
        <v>1343</v>
      </c>
      <c r="AA682">
        <v>0</v>
      </c>
      <c r="AB682">
        <v>0</v>
      </c>
      <c r="AD682">
        <v>0</v>
      </c>
      <c r="AE682">
        <v>0</v>
      </c>
      <c r="AF682">
        <v>0</v>
      </c>
      <c r="AG682">
        <v>0</v>
      </c>
    </row>
    <row r="683" spans="1:33">
      <c r="A683" s="1">
        <f>HYPERLINK("https://lsnyc.legalserver.org/matter/dynamic-profile/view/1873668","18-1873668")</f>
        <v>0</v>
      </c>
      <c r="B683" t="s">
        <v>33</v>
      </c>
      <c r="C683" t="s">
        <v>63</v>
      </c>
      <c r="D683" t="s">
        <v>575</v>
      </c>
      <c r="E683" t="s">
        <v>1131</v>
      </c>
      <c r="F683">
        <v>2090</v>
      </c>
      <c r="G683" t="s">
        <v>1199</v>
      </c>
      <c r="I683" t="s">
        <v>1300</v>
      </c>
      <c r="J683">
        <v>3</v>
      </c>
      <c r="K683">
        <v>2</v>
      </c>
      <c r="L683">
        <v>0</v>
      </c>
      <c r="M683" t="s">
        <v>1301</v>
      </c>
      <c r="N683">
        <v>56399</v>
      </c>
      <c r="O683">
        <v>10312</v>
      </c>
      <c r="P683" t="s">
        <v>1307</v>
      </c>
      <c r="Q683" t="s">
        <v>1320</v>
      </c>
      <c r="S683" t="s">
        <v>1334</v>
      </c>
      <c r="AA683">
        <v>0</v>
      </c>
      <c r="AB683">
        <v>0</v>
      </c>
      <c r="AD683">
        <v>0</v>
      </c>
      <c r="AE683">
        <v>0</v>
      </c>
      <c r="AF683">
        <v>0</v>
      </c>
      <c r="AG683">
        <v>0</v>
      </c>
    </row>
    <row r="684" spans="1:33">
      <c r="A684" s="1">
        <f>HYPERLINK("https://lsnyc.legalserver.org/matter/dynamic-profile/view/1873885","18-1873885")</f>
        <v>0</v>
      </c>
      <c r="B684" t="s">
        <v>33</v>
      </c>
      <c r="C684" t="s">
        <v>56</v>
      </c>
      <c r="D684" t="s">
        <v>323</v>
      </c>
      <c r="E684" t="s">
        <v>1132</v>
      </c>
      <c r="F684">
        <v>2090</v>
      </c>
      <c r="G684" t="s">
        <v>1199</v>
      </c>
      <c r="I684" t="s">
        <v>1300</v>
      </c>
      <c r="J684">
        <v>2</v>
      </c>
      <c r="K684">
        <v>3</v>
      </c>
      <c r="L684">
        <v>1</v>
      </c>
      <c r="M684" t="s">
        <v>1302</v>
      </c>
      <c r="N684">
        <v>90232</v>
      </c>
      <c r="O684">
        <v>10306</v>
      </c>
      <c r="P684" t="s">
        <v>1307</v>
      </c>
      <c r="Q684" t="s">
        <v>1314</v>
      </c>
      <c r="R684" t="s">
        <v>1315</v>
      </c>
      <c r="S684" t="s">
        <v>1336</v>
      </c>
      <c r="T684" t="s">
        <v>1334</v>
      </c>
      <c r="AA684">
        <v>0</v>
      </c>
      <c r="AB684">
        <v>0</v>
      </c>
      <c r="AD684">
        <v>0</v>
      </c>
      <c r="AE684">
        <v>0</v>
      </c>
      <c r="AF684">
        <v>0</v>
      </c>
      <c r="AG684">
        <v>0</v>
      </c>
    </row>
    <row r="685" spans="1:33">
      <c r="A685" s="1">
        <f>HYPERLINK("https://lsnyc.legalserver.org/matter/dynamic-profile/view/1873688","18-1873688")</f>
        <v>0</v>
      </c>
      <c r="B685" t="s">
        <v>33</v>
      </c>
      <c r="C685" t="s">
        <v>56</v>
      </c>
      <c r="D685" t="s">
        <v>576</v>
      </c>
      <c r="E685" t="s">
        <v>916</v>
      </c>
      <c r="F685">
        <v>2090</v>
      </c>
      <c r="G685" t="s">
        <v>1183</v>
      </c>
      <c r="I685" t="s">
        <v>1300</v>
      </c>
      <c r="J685">
        <v>1</v>
      </c>
      <c r="K685">
        <v>0</v>
      </c>
      <c r="L685">
        <v>0</v>
      </c>
      <c r="N685">
        <v>9600</v>
      </c>
      <c r="O685">
        <v>10314</v>
      </c>
      <c r="P685" t="s">
        <v>1307</v>
      </c>
      <c r="Q685" t="s">
        <v>1319</v>
      </c>
      <c r="R685" t="s">
        <v>1321</v>
      </c>
      <c r="S685" t="s">
        <v>1332</v>
      </c>
      <c r="T685" t="s">
        <v>1334</v>
      </c>
      <c r="AA685">
        <v>0</v>
      </c>
      <c r="AB685">
        <v>0</v>
      </c>
      <c r="AD685">
        <v>0</v>
      </c>
      <c r="AE685">
        <v>0</v>
      </c>
      <c r="AF685">
        <v>0</v>
      </c>
      <c r="AG685">
        <v>0</v>
      </c>
    </row>
    <row r="686" spans="1:33">
      <c r="A686" s="1">
        <f>HYPERLINK("https://lsnyc.legalserver.org/matter/dynamic-profile/view/1874921","18-1874921")</f>
        <v>0</v>
      </c>
      <c r="B686" t="s">
        <v>33</v>
      </c>
      <c r="C686" t="s">
        <v>63</v>
      </c>
      <c r="D686" t="s">
        <v>577</v>
      </c>
      <c r="E686" t="s">
        <v>1133</v>
      </c>
      <c r="F686">
        <v>2090</v>
      </c>
      <c r="G686" t="s">
        <v>1182</v>
      </c>
      <c r="I686" t="s">
        <v>1300</v>
      </c>
      <c r="J686">
        <v>2</v>
      </c>
      <c r="K686">
        <v>0</v>
      </c>
      <c r="L686">
        <v>0</v>
      </c>
      <c r="N686">
        <v>18000</v>
      </c>
      <c r="O686">
        <v>10314</v>
      </c>
      <c r="P686" t="s">
        <v>1307</v>
      </c>
      <c r="Q686" t="s">
        <v>1315</v>
      </c>
      <c r="R686" t="s">
        <v>1314</v>
      </c>
      <c r="S686" t="s">
        <v>1337</v>
      </c>
      <c r="T686" t="s">
        <v>1338</v>
      </c>
      <c r="U686" t="s">
        <v>1354</v>
      </c>
      <c r="W686" t="s">
        <v>1361</v>
      </c>
      <c r="AA686">
        <v>0</v>
      </c>
      <c r="AB686">
        <v>0</v>
      </c>
      <c r="AD686">
        <v>0</v>
      </c>
      <c r="AE686">
        <v>0</v>
      </c>
      <c r="AF686">
        <v>0</v>
      </c>
      <c r="AG686">
        <v>0</v>
      </c>
    </row>
    <row r="687" spans="1:33">
      <c r="A687" s="1">
        <f>HYPERLINK("https://lsnyc.legalserver.org/matter/dynamic-profile/view/1875376","18-1875376")</f>
        <v>0</v>
      </c>
      <c r="B687" t="s">
        <v>34</v>
      </c>
      <c r="C687" t="s">
        <v>49</v>
      </c>
      <c r="D687" t="s">
        <v>578</v>
      </c>
      <c r="E687" t="s">
        <v>1134</v>
      </c>
      <c r="F687">
        <v>2093</v>
      </c>
      <c r="I687" t="s">
        <v>1300</v>
      </c>
      <c r="J687">
        <v>3</v>
      </c>
      <c r="K687">
        <v>2</v>
      </c>
      <c r="L687">
        <v>0</v>
      </c>
      <c r="N687">
        <v>86000</v>
      </c>
      <c r="O687">
        <v>11385</v>
      </c>
      <c r="P687" t="s">
        <v>1308</v>
      </c>
      <c r="Q687" t="s">
        <v>1320</v>
      </c>
      <c r="S687" t="s">
        <v>1332</v>
      </c>
      <c r="T687" t="s">
        <v>1333</v>
      </c>
      <c r="U687" t="s">
        <v>1352</v>
      </c>
      <c r="W687" t="s">
        <v>1360</v>
      </c>
      <c r="AA687">
        <v>3502.26</v>
      </c>
      <c r="AB687">
        <v>0</v>
      </c>
      <c r="AD687">
        <v>0</v>
      </c>
      <c r="AE687">
        <v>0</v>
      </c>
      <c r="AF687">
        <v>0</v>
      </c>
      <c r="AG687">
        <v>0</v>
      </c>
    </row>
    <row r="688" spans="1:33">
      <c r="A688" s="1">
        <f>HYPERLINK("https://lsnyc.legalserver.org/matter/dynamic-profile/view/1877663","18-1877663")</f>
        <v>0</v>
      </c>
      <c r="B688" t="s">
        <v>33</v>
      </c>
      <c r="C688" t="s">
        <v>38</v>
      </c>
      <c r="D688" t="s">
        <v>579</v>
      </c>
      <c r="E688" t="s">
        <v>1135</v>
      </c>
      <c r="F688">
        <v>2090</v>
      </c>
      <c r="G688" t="s">
        <v>1206</v>
      </c>
      <c r="I688" t="s">
        <v>1300</v>
      </c>
      <c r="J688">
        <v>3</v>
      </c>
      <c r="K688">
        <v>0</v>
      </c>
      <c r="L688">
        <v>1</v>
      </c>
      <c r="M688" t="s">
        <v>1301</v>
      </c>
      <c r="N688">
        <v>64400</v>
      </c>
      <c r="O688">
        <v>10312</v>
      </c>
      <c r="P688" t="s">
        <v>1307</v>
      </c>
      <c r="Q688" t="s">
        <v>1315</v>
      </c>
      <c r="S688" t="s">
        <v>1333</v>
      </c>
      <c r="T688" t="s">
        <v>1334</v>
      </c>
      <c r="AA688">
        <v>0</v>
      </c>
      <c r="AB688">
        <v>0</v>
      </c>
      <c r="AD688">
        <v>0</v>
      </c>
      <c r="AE688">
        <v>0</v>
      </c>
      <c r="AF688">
        <v>0</v>
      </c>
      <c r="AG688">
        <v>0</v>
      </c>
    </row>
    <row r="689" spans="1:33">
      <c r="A689" s="1">
        <f>HYPERLINK("https://lsnyc.legalserver.org/matter/dynamic-profile/view/1878825","18-1878825")</f>
        <v>0</v>
      </c>
      <c r="B689" t="s">
        <v>33</v>
      </c>
      <c r="C689" t="s">
        <v>53</v>
      </c>
      <c r="D689" t="s">
        <v>143</v>
      </c>
      <c r="E689" t="s">
        <v>1136</v>
      </c>
      <c r="F689">
        <v>2090</v>
      </c>
      <c r="G689" t="s">
        <v>1207</v>
      </c>
      <c r="I689" t="s">
        <v>1300</v>
      </c>
      <c r="J689">
        <v>4</v>
      </c>
      <c r="K689">
        <v>2</v>
      </c>
      <c r="L689">
        <v>0</v>
      </c>
      <c r="N689">
        <v>10400</v>
      </c>
      <c r="O689">
        <v>10312</v>
      </c>
      <c r="P689" t="s">
        <v>1307</v>
      </c>
      <c r="Q689" t="s">
        <v>1315</v>
      </c>
      <c r="R689" t="s">
        <v>1314</v>
      </c>
      <c r="S689" t="s">
        <v>1333</v>
      </c>
      <c r="T689" t="s">
        <v>1334</v>
      </c>
      <c r="W689" t="s">
        <v>1361</v>
      </c>
      <c r="AA689">
        <v>0</v>
      </c>
      <c r="AB689">
        <v>0</v>
      </c>
      <c r="AD689">
        <v>0</v>
      </c>
      <c r="AE689">
        <v>0</v>
      </c>
      <c r="AF689">
        <v>0</v>
      </c>
      <c r="AG689">
        <v>0</v>
      </c>
    </row>
    <row r="690" spans="1:33">
      <c r="A690" s="1">
        <f>HYPERLINK("https://lsnyc.legalserver.org/matter/dynamic-profile/view/1879643","18-1879643")</f>
        <v>0</v>
      </c>
      <c r="B690" t="s">
        <v>34</v>
      </c>
      <c r="C690" t="s">
        <v>49</v>
      </c>
      <c r="D690" t="s">
        <v>269</v>
      </c>
      <c r="E690" t="s">
        <v>1137</v>
      </c>
      <c r="F690">
        <v>2093</v>
      </c>
      <c r="I690" t="s">
        <v>1300</v>
      </c>
      <c r="J690">
        <v>2</v>
      </c>
      <c r="K690">
        <v>1</v>
      </c>
      <c r="L690">
        <v>0</v>
      </c>
      <c r="N690">
        <v>60000</v>
      </c>
      <c r="O690">
        <v>11370</v>
      </c>
      <c r="P690" t="s">
        <v>1308</v>
      </c>
      <c r="Q690" t="s">
        <v>1315</v>
      </c>
      <c r="S690" t="s">
        <v>1333</v>
      </c>
      <c r="T690" t="s">
        <v>1332</v>
      </c>
      <c r="U690" t="s">
        <v>1352</v>
      </c>
      <c r="W690" t="s">
        <v>1360</v>
      </c>
      <c r="AA690">
        <v>2840.26</v>
      </c>
      <c r="AB690">
        <v>0</v>
      </c>
      <c r="AD690">
        <v>0</v>
      </c>
      <c r="AE690">
        <v>0</v>
      </c>
      <c r="AF690">
        <v>0</v>
      </c>
      <c r="AG690">
        <v>0</v>
      </c>
    </row>
    <row r="691" spans="1:33">
      <c r="A691" s="1">
        <f>HYPERLINK("https://lsnyc.legalserver.org/matter/dynamic-profile/view/1883201","18-1883201")</f>
        <v>0</v>
      </c>
      <c r="B691" t="s">
        <v>33</v>
      </c>
      <c r="C691" t="s">
        <v>53</v>
      </c>
      <c r="D691" t="s">
        <v>580</v>
      </c>
      <c r="E691" t="s">
        <v>1138</v>
      </c>
      <c r="F691">
        <v>2090</v>
      </c>
      <c r="G691" t="s">
        <v>1225</v>
      </c>
      <c r="I691" t="s">
        <v>1300</v>
      </c>
      <c r="J691">
        <v>3</v>
      </c>
      <c r="K691">
        <v>2</v>
      </c>
      <c r="L691">
        <v>0</v>
      </c>
      <c r="N691">
        <v>88300</v>
      </c>
      <c r="O691">
        <v>10312</v>
      </c>
      <c r="P691" t="s">
        <v>1307</v>
      </c>
      <c r="Q691" t="s">
        <v>1321</v>
      </c>
      <c r="S691" t="s">
        <v>1340</v>
      </c>
      <c r="T691" t="s">
        <v>1333</v>
      </c>
      <c r="W691" t="s">
        <v>1366</v>
      </c>
      <c r="AA691">
        <v>0</v>
      </c>
      <c r="AB691">
        <v>0</v>
      </c>
      <c r="AD691">
        <v>0</v>
      </c>
      <c r="AE691">
        <v>0</v>
      </c>
      <c r="AF691">
        <v>0</v>
      </c>
      <c r="AG691">
        <v>0</v>
      </c>
    </row>
    <row r="692" spans="1:33">
      <c r="A692" s="1">
        <f>HYPERLINK("https://lsnyc.legalserver.org/matter/dynamic-profile/view/1884398","18-1884398")</f>
        <v>0</v>
      </c>
      <c r="B692" t="s">
        <v>33</v>
      </c>
      <c r="C692" t="s">
        <v>56</v>
      </c>
      <c r="D692" t="s">
        <v>581</v>
      </c>
      <c r="E692" t="s">
        <v>1139</v>
      </c>
      <c r="F692">
        <v>2090</v>
      </c>
      <c r="G692" t="s">
        <v>1224</v>
      </c>
      <c r="I692" t="s">
        <v>1300</v>
      </c>
      <c r="J692">
        <v>2</v>
      </c>
      <c r="K692">
        <v>3</v>
      </c>
      <c r="L692">
        <v>0</v>
      </c>
      <c r="N692">
        <v>100000</v>
      </c>
      <c r="O692">
        <v>10307</v>
      </c>
      <c r="P692" t="s">
        <v>1307</v>
      </c>
      <c r="Q692" t="s">
        <v>1315</v>
      </c>
      <c r="S692" t="s">
        <v>1334</v>
      </c>
      <c r="U692" t="s">
        <v>1356</v>
      </c>
      <c r="V692" t="s">
        <v>1352</v>
      </c>
      <c r="AA692">
        <v>0</v>
      </c>
      <c r="AB692">
        <v>153.02</v>
      </c>
      <c r="AD692">
        <v>0</v>
      </c>
      <c r="AE692">
        <v>0</v>
      </c>
      <c r="AF692">
        <v>0</v>
      </c>
      <c r="AG692">
        <v>0</v>
      </c>
    </row>
    <row r="693" spans="1:33">
      <c r="A693" s="1">
        <f>HYPERLINK("https://lsnyc.legalserver.org/matter/dynamic-profile/view/1884483","18-1884483")</f>
        <v>0</v>
      </c>
      <c r="B693" t="s">
        <v>33</v>
      </c>
      <c r="C693" t="s">
        <v>70</v>
      </c>
      <c r="D693" t="s">
        <v>477</v>
      </c>
      <c r="E693" t="s">
        <v>1140</v>
      </c>
      <c r="F693">
        <v>2090</v>
      </c>
      <c r="G693" t="s">
        <v>1208</v>
      </c>
      <c r="I693" t="s">
        <v>1300</v>
      </c>
      <c r="J693">
        <v>2</v>
      </c>
      <c r="K693">
        <v>1</v>
      </c>
      <c r="L693">
        <v>0</v>
      </c>
      <c r="N693">
        <v>54000</v>
      </c>
      <c r="O693">
        <v>10314</v>
      </c>
      <c r="P693" t="s">
        <v>1307</v>
      </c>
      <c r="Q693" t="s">
        <v>1315</v>
      </c>
      <c r="S693" t="s">
        <v>1337</v>
      </c>
      <c r="AA693">
        <v>0</v>
      </c>
      <c r="AB693">
        <v>0</v>
      </c>
      <c r="AD693">
        <v>0</v>
      </c>
      <c r="AE693">
        <v>0</v>
      </c>
      <c r="AF693">
        <v>0</v>
      </c>
      <c r="AG693">
        <v>0</v>
      </c>
    </row>
    <row r="694" spans="1:33">
      <c r="A694" s="1">
        <f>HYPERLINK("https://lsnyc.legalserver.org/matter/dynamic-profile/view/1885627","18-1885627")</f>
        <v>0</v>
      </c>
      <c r="B694" t="s">
        <v>33</v>
      </c>
      <c r="C694" t="s">
        <v>56</v>
      </c>
      <c r="D694" t="s">
        <v>582</v>
      </c>
      <c r="E694" t="s">
        <v>1141</v>
      </c>
      <c r="F694">
        <v>2090</v>
      </c>
      <c r="G694" t="s">
        <v>1207</v>
      </c>
      <c r="H694" t="s">
        <v>1220</v>
      </c>
      <c r="I694" t="s">
        <v>1300</v>
      </c>
      <c r="J694">
        <v>3</v>
      </c>
      <c r="K694">
        <v>1</v>
      </c>
      <c r="L694">
        <v>0</v>
      </c>
      <c r="M694" t="s">
        <v>1302</v>
      </c>
      <c r="N694">
        <v>19200</v>
      </c>
      <c r="O694">
        <v>10312</v>
      </c>
      <c r="P694" t="s">
        <v>1307</v>
      </c>
      <c r="Q694" t="s">
        <v>1328</v>
      </c>
      <c r="R694" t="s">
        <v>1316</v>
      </c>
      <c r="S694" t="s">
        <v>1332</v>
      </c>
      <c r="T694" t="s">
        <v>1340</v>
      </c>
      <c r="W694" t="s">
        <v>1361</v>
      </c>
      <c r="AA694">
        <v>0</v>
      </c>
      <c r="AB694">
        <v>0</v>
      </c>
      <c r="AD694">
        <v>0</v>
      </c>
      <c r="AE694">
        <v>0</v>
      </c>
      <c r="AF694">
        <v>0</v>
      </c>
      <c r="AG694">
        <v>0</v>
      </c>
    </row>
    <row r="695" spans="1:33">
      <c r="A695" s="1">
        <f>HYPERLINK("https://lsnyc.legalserver.org/matter/dynamic-profile/view/1885818","18-1885818")</f>
        <v>0</v>
      </c>
      <c r="B695" t="s">
        <v>34</v>
      </c>
      <c r="C695" t="s">
        <v>64</v>
      </c>
      <c r="D695" t="s">
        <v>278</v>
      </c>
      <c r="E695" t="s">
        <v>1142</v>
      </c>
      <c r="F695">
        <v>2093</v>
      </c>
      <c r="G695" t="s">
        <v>1215</v>
      </c>
      <c r="I695" t="s">
        <v>1300</v>
      </c>
      <c r="J695">
        <v>1</v>
      </c>
      <c r="K695">
        <v>0</v>
      </c>
      <c r="L695">
        <v>0</v>
      </c>
      <c r="M695" t="s">
        <v>1302</v>
      </c>
      <c r="N695">
        <v>26400</v>
      </c>
      <c r="O695">
        <v>11378</v>
      </c>
      <c r="P695" t="s">
        <v>1308</v>
      </c>
      <c r="Q695" t="s">
        <v>1319</v>
      </c>
      <c r="S695" t="s">
        <v>1333</v>
      </c>
      <c r="T695" t="s">
        <v>1336</v>
      </c>
      <c r="W695" t="s">
        <v>1361</v>
      </c>
      <c r="Y695" t="s">
        <v>1366</v>
      </c>
      <c r="AA695">
        <v>0</v>
      </c>
      <c r="AB695">
        <v>0</v>
      </c>
      <c r="AD695">
        <v>0</v>
      </c>
      <c r="AE695">
        <v>0</v>
      </c>
      <c r="AF695">
        <v>0</v>
      </c>
      <c r="AG695">
        <v>0</v>
      </c>
    </row>
    <row r="696" spans="1:33">
      <c r="A696" s="1">
        <f>HYPERLINK("https://lsnyc.legalserver.org/matter/dynamic-profile/view/1885995","18-1885995")</f>
        <v>0</v>
      </c>
      <c r="B696" t="s">
        <v>36</v>
      </c>
      <c r="C696" t="s">
        <v>59</v>
      </c>
      <c r="D696" t="s">
        <v>583</v>
      </c>
      <c r="E696" t="s">
        <v>1143</v>
      </c>
      <c r="F696">
        <v>2094</v>
      </c>
      <c r="G696" t="s">
        <v>1230</v>
      </c>
      <c r="I696" t="s">
        <v>1300</v>
      </c>
      <c r="J696">
        <v>4</v>
      </c>
      <c r="K696">
        <v>0</v>
      </c>
      <c r="L696">
        <v>0</v>
      </c>
      <c r="M696" t="s">
        <v>1302</v>
      </c>
      <c r="N696">
        <v>60000</v>
      </c>
      <c r="O696">
        <v>10465</v>
      </c>
      <c r="P696" t="s">
        <v>1310</v>
      </c>
      <c r="Q696" t="s">
        <v>1326</v>
      </c>
      <c r="S696" t="s">
        <v>1334</v>
      </c>
      <c r="T696" t="s">
        <v>1333</v>
      </c>
      <c r="W696" t="s">
        <v>1383</v>
      </c>
      <c r="AA696">
        <v>0</v>
      </c>
      <c r="AB696">
        <v>0</v>
      </c>
      <c r="AD696">
        <v>0</v>
      </c>
      <c r="AE696">
        <v>0</v>
      </c>
      <c r="AF696">
        <v>0</v>
      </c>
      <c r="AG696">
        <v>0</v>
      </c>
    </row>
    <row r="697" spans="1:33">
      <c r="A697" s="1">
        <f>HYPERLINK("https://lsnyc.legalserver.org/matter/dynamic-profile/view/1886613","18-1886613")</f>
        <v>0</v>
      </c>
      <c r="B697" t="s">
        <v>33</v>
      </c>
      <c r="C697" t="s">
        <v>56</v>
      </c>
      <c r="D697" t="s">
        <v>280</v>
      </c>
      <c r="E697" t="s">
        <v>1144</v>
      </c>
      <c r="F697">
        <v>2090</v>
      </c>
      <c r="G697" t="s">
        <v>1200</v>
      </c>
      <c r="I697" t="s">
        <v>1300</v>
      </c>
      <c r="J697">
        <v>4</v>
      </c>
      <c r="K697">
        <v>0</v>
      </c>
      <c r="L697">
        <v>0</v>
      </c>
      <c r="M697" t="s">
        <v>1301</v>
      </c>
      <c r="N697">
        <v>76291.02</v>
      </c>
      <c r="O697">
        <v>10306</v>
      </c>
      <c r="P697" t="s">
        <v>1307</v>
      </c>
      <c r="Q697" t="s">
        <v>1315</v>
      </c>
      <c r="S697" t="s">
        <v>1334</v>
      </c>
      <c r="T697" t="s">
        <v>1333</v>
      </c>
      <c r="AA697">
        <v>0</v>
      </c>
      <c r="AB697">
        <v>0</v>
      </c>
      <c r="AD697">
        <v>0</v>
      </c>
      <c r="AE697">
        <v>0</v>
      </c>
      <c r="AF697">
        <v>0</v>
      </c>
      <c r="AG697">
        <v>0</v>
      </c>
    </row>
    <row r="698" spans="1:33">
      <c r="A698" s="1">
        <f>HYPERLINK("https://lsnyc.legalserver.org/matter/dynamic-profile/view/1887585","19-1887585")</f>
        <v>0</v>
      </c>
      <c r="B698" t="s">
        <v>33</v>
      </c>
      <c r="C698" t="s">
        <v>38</v>
      </c>
      <c r="D698" t="s">
        <v>143</v>
      </c>
      <c r="E698" t="s">
        <v>1145</v>
      </c>
      <c r="F698">
        <v>2090</v>
      </c>
      <c r="G698" t="s">
        <v>1183</v>
      </c>
      <c r="H698" t="s">
        <v>1178</v>
      </c>
      <c r="I698" t="s">
        <v>1300</v>
      </c>
      <c r="J698">
        <v>4</v>
      </c>
      <c r="K698">
        <v>0</v>
      </c>
      <c r="L698">
        <v>0</v>
      </c>
      <c r="M698" t="s">
        <v>1301</v>
      </c>
      <c r="N698">
        <v>27976</v>
      </c>
      <c r="O698">
        <v>10307</v>
      </c>
      <c r="P698" t="s">
        <v>1307</v>
      </c>
      <c r="Q698" t="s">
        <v>1314</v>
      </c>
      <c r="S698" t="s">
        <v>1337</v>
      </c>
      <c r="AA698">
        <v>0</v>
      </c>
      <c r="AB698">
        <v>0</v>
      </c>
      <c r="AD698">
        <v>0</v>
      </c>
      <c r="AE698">
        <v>0</v>
      </c>
      <c r="AF698">
        <v>0</v>
      </c>
      <c r="AG698">
        <v>0</v>
      </c>
    </row>
    <row r="699" spans="1:33">
      <c r="A699" s="1">
        <f>HYPERLINK("https://lsnyc.legalserver.org/matter/dynamic-profile/view/1888431","19-1888431")</f>
        <v>0</v>
      </c>
      <c r="B699" t="s">
        <v>33</v>
      </c>
      <c r="C699" t="s">
        <v>63</v>
      </c>
      <c r="D699" t="s">
        <v>584</v>
      </c>
      <c r="E699" t="s">
        <v>1146</v>
      </c>
      <c r="F699">
        <v>2090</v>
      </c>
      <c r="G699" t="s">
        <v>1279</v>
      </c>
      <c r="I699" t="s">
        <v>1300</v>
      </c>
      <c r="J699">
        <v>3</v>
      </c>
      <c r="K699">
        <v>0</v>
      </c>
      <c r="L699">
        <v>2</v>
      </c>
      <c r="M699" t="s">
        <v>1302</v>
      </c>
      <c r="N699">
        <v>61900</v>
      </c>
      <c r="O699">
        <v>10314</v>
      </c>
      <c r="P699" t="s">
        <v>1307</v>
      </c>
      <c r="Q699" t="s">
        <v>1315</v>
      </c>
      <c r="S699" t="s">
        <v>1334</v>
      </c>
      <c r="T699" t="s">
        <v>1333</v>
      </c>
      <c r="AA699">
        <v>0</v>
      </c>
      <c r="AB699">
        <v>0</v>
      </c>
      <c r="AD699">
        <v>0</v>
      </c>
      <c r="AE699">
        <v>0</v>
      </c>
      <c r="AF699">
        <v>0</v>
      </c>
      <c r="AG699">
        <v>0</v>
      </c>
    </row>
    <row r="700" spans="1:33">
      <c r="A700" s="1">
        <f>HYPERLINK("https://lsnyc.legalserver.org/matter/dynamic-profile/view/1894857","19-1894857")</f>
        <v>0</v>
      </c>
      <c r="B700" t="s">
        <v>35</v>
      </c>
      <c r="C700" t="s">
        <v>61</v>
      </c>
      <c r="D700" t="s">
        <v>203</v>
      </c>
      <c r="E700" t="s">
        <v>733</v>
      </c>
      <c r="F700">
        <v>2091</v>
      </c>
      <c r="G700" t="s">
        <v>1207</v>
      </c>
      <c r="I700" t="s">
        <v>1300</v>
      </c>
      <c r="J700">
        <v>2</v>
      </c>
      <c r="K700">
        <v>0</v>
      </c>
      <c r="L700">
        <v>1</v>
      </c>
      <c r="M700" t="s">
        <v>1302</v>
      </c>
      <c r="N700">
        <v>44486.04</v>
      </c>
      <c r="O700">
        <v>11219</v>
      </c>
      <c r="P700" t="s">
        <v>1309</v>
      </c>
      <c r="Q700" t="s">
        <v>1316</v>
      </c>
      <c r="S700" t="s">
        <v>1334</v>
      </c>
      <c r="AA700">
        <v>0</v>
      </c>
      <c r="AB700">
        <v>0</v>
      </c>
      <c r="AD700">
        <v>0</v>
      </c>
      <c r="AE700">
        <v>0</v>
      </c>
      <c r="AF700">
        <v>0</v>
      </c>
      <c r="AG700">
        <v>0</v>
      </c>
    </row>
    <row r="701" spans="1:33">
      <c r="A701" s="1">
        <f>HYPERLINK("https://lsnyc.legalserver.org/matter/dynamic-profile/view/1897270","19-1897270")</f>
        <v>0</v>
      </c>
      <c r="B701" t="s">
        <v>33</v>
      </c>
      <c r="C701" t="s">
        <v>38</v>
      </c>
      <c r="D701" t="s">
        <v>585</v>
      </c>
      <c r="E701" t="s">
        <v>1147</v>
      </c>
      <c r="F701">
        <v>2090</v>
      </c>
      <c r="G701" t="s">
        <v>1225</v>
      </c>
      <c r="I701" t="s">
        <v>1300</v>
      </c>
      <c r="J701">
        <v>3</v>
      </c>
      <c r="K701">
        <v>2</v>
      </c>
      <c r="L701">
        <v>0</v>
      </c>
      <c r="M701" t="s">
        <v>1301</v>
      </c>
      <c r="N701">
        <v>58992</v>
      </c>
      <c r="O701">
        <v>10305</v>
      </c>
      <c r="P701" t="s">
        <v>1307</v>
      </c>
      <c r="Q701" t="s">
        <v>1316</v>
      </c>
      <c r="S701" t="s">
        <v>1337</v>
      </c>
      <c r="AA701">
        <v>0</v>
      </c>
      <c r="AB701">
        <v>0</v>
      </c>
      <c r="AD701">
        <v>0</v>
      </c>
      <c r="AE701">
        <v>0</v>
      </c>
      <c r="AF701">
        <v>0</v>
      </c>
      <c r="AG701">
        <v>0</v>
      </c>
    </row>
    <row r="702" spans="1:33">
      <c r="A702" s="1">
        <f>HYPERLINK("https://lsnyc.legalserver.org/matter/dynamic-profile/view/1897851","19-1897851")</f>
        <v>0</v>
      </c>
      <c r="B702" t="s">
        <v>33</v>
      </c>
      <c r="C702" t="s">
        <v>38</v>
      </c>
      <c r="D702" t="s">
        <v>394</v>
      </c>
      <c r="E702" t="s">
        <v>1148</v>
      </c>
      <c r="F702">
        <v>2090</v>
      </c>
      <c r="G702" t="s">
        <v>1207</v>
      </c>
      <c r="I702" t="s">
        <v>1300</v>
      </c>
      <c r="J702">
        <v>1</v>
      </c>
      <c r="K702">
        <v>2</v>
      </c>
      <c r="L702">
        <v>0</v>
      </c>
      <c r="M702" t="s">
        <v>1301</v>
      </c>
      <c r="N702">
        <v>46800</v>
      </c>
      <c r="O702">
        <v>10306</v>
      </c>
      <c r="P702" t="s">
        <v>1307</v>
      </c>
      <c r="Q702" t="s">
        <v>1320</v>
      </c>
      <c r="R702" t="s">
        <v>1325</v>
      </c>
      <c r="S702" t="s">
        <v>1332</v>
      </c>
      <c r="W702" t="s">
        <v>1361</v>
      </c>
      <c r="AA702">
        <v>0</v>
      </c>
      <c r="AB702">
        <v>0</v>
      </c>
      <c r="AD702">
        <v>0</v>
      </c>
      <c r="AE702">
        <v>0</v>
      </c>
      <c r="AF702">
        <v>0</v>
      </c>
      <c r="AG702">
        <v>0</v>
      </c>
    </row>
    <row r="703" spans="1:33">
      <c r="A703" s="1">
        <f>HYPERLINK("https://lsnyc.legalserver.org/matter/dynamic-profile/view/1899513","19-1899513")</f>
        <v>0</v>
      </c>
      <c r="B703" t="s">
        <v>33</v>
      </c>
      <c r="C703" t="s">
        <v>63</v>
      </c>
      <c r="D703" t="s">
        <v>141</v>
      </c>
      <c r="E703" t="s">
        <v>1149</v>
      </c>
      <c r="F703">
        <v>2090</v>
      </c>
      <c r="G703" t="s">
        <v>1210</v>
      </c>
      <c r="I703" t="s">
        <v>1300</v>
      </c>
      <c r="J703">
        <v>1</v>
      </c>
      <c r="K703">
        <v>2</v>
      </c>
      <c r="L703">
        <v>0</v>
      </c>
      <c r="N703">
        <v>22746</v>
      </c>
      <c r="O703">
        <v>10309</v>
      </c>
      <c r="P703" t="s">
        <v>1307</v>
      </c>
      <c r="Q703" t="s">
        <v>1320</v>
      </c>
      <c r="S703" t="s">
        <v>1334</v>
      </c>
      <c r="T703" t="s">
        <v>1351</v>
      </c>
      <c r="AA703">
        <v>0</v>
      </c>
      <c r="AB703">
        <v>0</v>
      </c>
      <c r="AD703">
        <v>0</v>
      </c>
      <c r="AE703">
        <v>0</v>
      </c>
      <c r="AF703">
        <v>0</v>
      </c>
      <c r="AG703">
        <v>0</v>
      </c>
    </row>
    <row r="704" spans="1:33">
      <c r="A704" s="1">
        <f>HYPERLINK("https://lsnyc.legalserver.org/matter/dynamic-profile/view/1900076","19-1900076")</f>
        <v>0</v>
      </c>
      <c r="B704" t="s">
        <v>33</v>
      </c>
      <c r="C704" t="s">
        <v>63</v>
      </c>
      <c r="D704" t="s">
        <v>586</v>
      </c>
      <c r="E704" t="s">
        <v>725</v>
      </c>
      <c r="F704">
        <v>2090</v>
      </c>
      <c r="G704" t="s">
        <v>1210</v>
      </c>
      <c r="I704" t="s">
        <v>1300</v>
      </c>
      <c r="J704">
        <v>2</v>
      </c>
      <c r="K704">
        <v>0</v>
      </c>
      <c r="L704">
        <v>0</v>
      </c>
      <c r="N704">
        <v>51200</v>
      </c>
      <c r="O704">
        <v>10312</v>
      </c>
      <c r="P704" t="s">
        <v>1307</v>
      </c>
      <c r="Q704" t="s">
        <v>1317</v>
      </c>
      <c r="S704" t="s">
        <v>1338</v>
      </c>
      <c r="AA704">
        <v>0</v>
      </c>
      <c r="AB704">
        <v>0</v>
      </c>
      <c r="AD704">
        <v>0</v>
      </c>
      <c r="AE704">
        <v>0</v>
      </c>
      <c r="AF704">
        <v>0</v>
      </c>
      <c r="AG704">
        <v>0</v>
      </c>
    </row>
    <row r="705" spans="1:33">
      <c r="A705" s="1">
        <f>HYPERLINK("https://lsnyc.legalserver.org/matter/dynamic-profile/view/1900777","19-1900777")</f>
        <v>0</v>
      </c>
      <c r="B705" t="s">
        <v>33</v>
      </c>
      <c r="C705" t="s">
        <v>56</v>
      </c>
      <c r="D705" t="s">
        <v>587</v>
      </c>
      <c r="E705" t="s">
        <v>1150</v>
      </c>
      <c r="F705">
        <v>2090</v>
      </c>
      <c r="G705" t="s">
        <v>1188</v>
      </c>
      <c r="I705" t="s">
        <v>1300</v>
      </c>
      <c r="J705">
        <v>2</v>
      </c>
      <c r="K705">
        <v>3</v>
      </c>
      <c r="L705">
        <v>0</v>
      </c>
      <c r="M705" t="s">
        <v>1301</v>
      </c>
      <c r="N705">
        <v>28144</v>
      </c>
      <c r="O705">
        <v>10303</v>
      </c>
      <c r="P705" t="s">
        <v>1307</v>
      </c>
      <c r="Q705" t="s">
        <v>1315</v>
      </c>
      <c r="S705" t="s">
        <v>1337</v>
      </c>
      <c r="AA705">
        <v>0</v>
      </c>
      <c r="AB705">
        <v>0</v>
      </c>
      <c r="AD705">
        <v>0</v>
      </c>
      <c r="AE705">
        <v>0</v>
      </c>
      <c r="AF705">
        <v>0</v>
      </c>
      <c r="AG705">
        <v>0</v>
      </c>
    </row>
    <row r="706" spans="1:33">
      <c r="A706" s="1">
        <f>HYPERLINK("https://lsnyc.legalserver.org/matter/dynamic-profile/view/1902669","19-1902669")</f>
        <v>0</v>
      </c>
      <c r="B706" t="s">
        <v>34</v>
      </c>
      <c r="C706" t="s">
        <v>49</v>
      </c>
      <c r="D706" t="s">
        <v>588</v>
      </c>
      <c r="E706" t="s">
        <v>1151</v>
      </c>
      <c r="F706">
        <v>2093</v>
      </c>
      <c r="G706" t="s">
        <v>1185</v>
      </c>
      <c r="I706" t="s">
        <v>1300</v>
      </c>
      <c r="J706">
        <v>5</v>
      </c>
      <c r="K706">
        <v>0</v>
      </c>
      <c r="L706">
        <v>0</v>
      </c>
      <c r="M706" t="s">
        <v>1301</v>
      </c>
      <c r="N706">
        <v>60000</v>
      </c>
      <c r="O706">
        <v>11365</v>
      </c>
      <c r="P706" t="s">
        <v>1308</v>
      </c>
      <c r="Q706" t="s">
        <v>1316</v>
      </c>
      <c r="S706" t="s">
        <v>1333</v>
      </c>
      <c r="AA706">
        <v>0</v>
      </c>
      <c r="AB706">
        <v>0</v>
      </c>
      <c r="AD706">
        <v>0</v>
      </c>
      <c r="AE706">
        <v>0</v>
      </c>
      <c r="AF706">
        <v>0</v>
      </c>
      <c r="AG706">
        <v>0</v>
      </c>
    </row>
    <row r="707" spans="1:33">
      <c r="A707" s="1">
        <f>HYPERLINK("https://lsnyc.legalserver.org/matter/dynamic-profile/view/1902716","19-1902716")</f>
        <v>0</v>
      </c>
      <c r="B707" t="s">
        <v>35</v>
      </c>
      <c r="C707" t="s">
        <v>55</v>
      </c>
      <c r="D707" t="s">
        <v>589</v>
      </c>
      <c r="E707" t="s">
        <v>1152</v>
      </c>
      <c r="F707">
        <v>2091</v>
      </c>
      <c r="I707" t="s">
        <v>1300</v>
      </c>
      <c r="J707">
        <v>5</v>
      </c>
      <c r="K707">
        <v>1</v>
      </c>
      <c r="L707">
        <v>0</v>
      </c>
      <c r="N707">
        <v>123189</v>
      </c>
      <c r="O707">
        <v>11234</v>
      </c>
      <c r="P707" t="s">
        <v>1309</v>
      </c>
      <c r="Q707" t="s">
        <v>1317</v>
      </c>
      <c r="S707" t="s">
        <v>1340</v>
      </c>
      <c r="T707" t="s">
        <v>1337</v>
      </c>
      <c r="U707" t="s">
        <v>1356</v>
      </c>
      <c r="W707" t="s">
        <v>1366</v>
      </c>
      <c r="AA707">
        <v>0</v>
      </c>
      <c r="AB707">
        <v>0</v>
      </c>
      <c r="AD707">
        <v>0</v>
      </c>
      <c r="AE707">
        <v>0</v>
      </c>
      <c r="AF707">
        <v>0</v>
      </c>
      <c r="AG707">
        <v>0</v>
      </c>
    </row>
    <row r="708" spans="1:33">
      <c r="A708" s="1">
        <f>HYPERLINK("https://lsnyc.legalserver.org/matter/dynamic-profile/view/1904511","19-1904511")</f>
        <v>0</v>
      </c>
      <c r="B708" t="s">
        <v>36</v>
      </c>
      <c r="C708" t="s">
        <v>59</v>
      </c>
      <c r="D708" t="s">
        <v>590</v>
      </c>
      <c r="E708" t="s">
        <v>1153</v>
      </c>
      <c r="F708">
        <v>2094</v>
      </c>
      <c r="G708" t="s">
        <v>1206</v>
      </c>
      <c r="I708" t="s">
        <v>1300</v>
      </c>
      <c r="J708">
        <v>1</v>
      </c>
      <c r="K708">
        <v>0</v>
      </c>
      <c r="L708">
        <v>1</v>
      </c>
      <c r="M708" t="s">
        <v>1301</v>
      </c>
      <c r="N708">
        <v>28564.08</v>
      </c>
      <c r="O708">
        <v>10461</v>
      </c>
      <c r="P708" t="s">
        <v>1310</v>
      </c>
      <c r="Q708" t="s">
        <v>1314</v>
      </c>
      <c r="R708" t="s">
        <v>1319</v>
      </c>
      <c r="S708" t="s">
        <v>1332</v>
      </c>
      <c r="T708" t="s">
        <v>1340</v>
      </c>
      <c r="W708" t="s">
        <v>1382</v>
      </c>
      <c r="AA708">
        <v>0</v>
      </c>
      <c r="AB708">
        <v>0</v>
      </c>
      <c r="AD708">
        <v>0</v>
      </c>
      <c r="AE708">
        <v>0</v>
      </c>
      <c r="AF708">
        <v>0</v>
      </c>
      <c r="AG708">
        <v>0</v>
      </c>
    </row>
    <row r="709" spans="1:33">
      <c r="A709" s="1">
        <f>HYPERLINK("https://lsnyc.legalserver.org/matter/dynamic-profile/view/1905181","19-1905181")</f>
        <v>0</v>
      </c>
      <c r="B709" t="s">
        <v>36</v>
      </c>
      <c r="C709" t="s">
        <v>59</v>
      </c>
      <c r="D709" t="s">
        <v>591</v>
      </c>
      <c r="E709" t="s">
        <v>1154</v>
      </c>
      <c r="F709">
        <v>2094</v>
      </c>
      <c r="G709" t="s">
        <v>1209</v>
      </c>
      <c r="I709" t="s">
        <v>1300</v>
      </c>
      <c r="J709">
        <v>2</v>
      </c>
      <c r="K709">
        <v>0</v>
      </c>
      <c r="L709">
        <v>1</v>
      </c>
      <c r="M709" t="s">
        <v>1301</v>
      </c>
      <c r="N709">
        <v>10080</v>
      </c>
      <c r="O709">
        <v>10463</v>
      </c>
      <c r="P709" t="s">
        <v>1310</v>
      </c>
      <c r="Q709" t="s">
        <v>1315</v>
      </c>
      <c r="S709" t="s">
        <v>1332</v>
      </c>
      <c r="T709" t="s">
        <v>1333</v>
      </c>
      <c r="W709" t="s">
        <v>1361</v>
      </c>
      <c r="AA709">
        <v>0</v>
      </c>
      <c r="AB709">
        <v>0</v>
      </c>
      <c r="AD709">
        <v>0</v>
      </c>
      <c r="AE709">
        <v>0</v>
      </c>
      <c r="AF709">
        <v>0</v>
      </c>
      <c r="AG709">
        <v>0</v>
      </c>
    </row>
    <row r="710" spans="1:33">
      <c r="A710" s="1">
        <f>HYPERLINK("https://lsnyc.legalserver.org/matter/dynamic-profile/view/1905252","19-1905252")</f>
        <v>0</v>
      </c>
      <c r="B710" t="s">
        <v>34</v>
      </c>
      <c r="C710" t="s">
        <v>65</v>
      </c>
      <c r="D710" t="s">
        <v>592</v>
      </c>
      <c r="E710" t="s">
        <v>1155</v>
      </c>
      <c r="F710">
        <v>2093</v>
      </c>
      <c r="G710" t="s">
        <v>1182</v>
      </c>
      <c r="I710" t="s">
        <v>1300</v>
      </c>
      <c r="J710">
        <v>1</v>
      </c>
      <c r="K710">
        <v>0</v>
      </c>
      <c r="L710">
        <v>1</v>
      </c>
      <c r="M710" t="s">
        <v>1302</v>
      </c>
      <c r="N710">
        <v>12702.12</v>
      </c>
      <c r="O710">
        <v>11358</v>
      </c>
      <c r="P710" t="s">
        <v>1308</v>
      </c>
      <c r="Q710" t="s">
        <v>1315</v>
      </c>
      <c r="S710" t="s">
        <v>1334</v>
      </c>
      <c r="AA710">
        <v>0</v>
      </c>
      <c r="AB710">
        <v>0</v>
      </c>
      <c r="AD710">
        <v>0</v>
      </c>
      <c r="AE710">
        <v>0</v>
      </c>
      <c r="AF710">
        <v>0</v>
      </c>
      <c r="AG710">
        <v>0</v>
      </c>
    </row>
    <row r="711" spans="1:33">
      <c r="A711" s="1">
        <f>HYPERLINK("https://lsnyc.legalserver.org/matter/dynamic-profile/view/1904877","19-1904877")</f>
        <v>0</v>
      </c>
      <c r="B711" t="s">
        <v>33</v>
      </c>
      <c r="C711" t="s">
        <v>38</v>
      </c>
      <c r="D711" t="s">
        <v>389</v>
      </c>
      <c r="E711" t="s">
        <v>1156</v>
      </c>
      <c r="F711">
        <v>2090</v>
      </c>
      <c r="G711" t="s">
        <v>1197</v>
      </c>
      <c r="I711" t="s">
        <v>1300</v>
      </c>
      <c r="J711">
        <v>3</v>
      </c>
      <c r="K711">
        <v>0</v>
      </c>
      <c r="L711">
        <v>0</v>
      </c>
      <c r="N711">
        <v>38448</v>
      </c>
      <c r="O711">
        <v>10306</v>
      </c>
      <c r="P711" t="s">
        <v>1307</v>
      </c>
      <c r="Q711" t="s">
        <v>1315</v>
      </c>
      <c r="S711" t="s">
        <v>1332</v>
      </c>
      <c r="W711" t="s">
        <v>1361</v>
      </c>
      <c r="AA711">
        <v>0</v>
      </c>
      <c r="AB711">
        <v>0</v>
      </c>
      <c r="AD711">
        <v>0</v>
      </c>
      <c r="AE711">
        <v>0</v>
      </c>
      <c r="AF711">
        <v>0</v>
      </c>
      <c r="AG711">
        <v>0</v>
      </c>
    </row>
    <row r="712" spans="1:33">
      <c r="A712" s="1">
        <f>HYPERLINK("https://lsnyc.legalserver.org/matter/dynamic-profile/view/1905935","19-1905935")</f>
        <v>0</v>
      </c>
      <c r="B712" t="s">
        <v>33</v>
      </c>
      <c r="C712" t="s">
        <v>53</v>
      </c>
      <c r="D712" t="s">
        <v>593</v>
      </c>
      <c r="E712" t="s">
        <v>255</v>
      </c>
      <c r="F712">
        <v>2090</v>
      </c>
      <c r="I712" t="s">
        <v>1300</v>
      </c>
      <c r="J712">
        <v>2</v>
      </c>
      <c r="K712">
        <v>2</v>
      </c>
      <c r="L712">
        <v>0</v>
      </c>
      <c r="N712">
        <v>79400</v>
      </c>
      <c r="O712">
        <v>10312</v>
      </c>
      <c r="P712" t="s">
        <v>1307</v>
      </c>
      <c r="Q712" t="s">
        <v>1315</v>
      </c>
      <c r="R712" t="s">
        <v>1320</v>
      </c>
      <c r="S712" t="s">
        <v>1333</v>
      </c>
      <c r="T712" t="s">
        <v>1340</v>
      </c>
      <c r="AA712">
        <v>0</v>
      </c>
      <c r="AB712">
        <v>0</v>
      </c>
      <c r="AD712">
        <v>0</v>
      </c>
      <c r="AE712">
        <v>0</v>
      </c>
      <c r="AF712">
        <v>0</v>
      </c>
      <c r="AG712">
        <v>0</v>
      </c>
    </row>
    <row r="713" spans="1:33">
      <c r="A713" s="1">
        <f>HYPERLINK("https://lsnyc.legalserver.org/matter/dynamic-profile/view/1906262","19-1906262")</f>
        <v>0</v>
      </c>
      <c r="B713" t="s">
        <v>33</v>
      </c>
      <c r="C713" t="s">
        <v>53</v>
      </c>
      <c r="D713" t="s">
        <v>594</v>
      </c>
      <c r="E713" t="s">
        <v>1157</v>
      </c>
      <c r="F713">
        <v>2090</v>
      </c>
      <c r="I713" t="s">
        <v>1300</v>
      </c>
      <c r="J713">
        <v>3</v>
      </c>
      <c r="K713">
        <v>0</v>
      </c>
      <c r="L713">
        <v>0</v>
      </c>
      <c r="N713">
        <v>78000</v>
      </c>
      <c r="O713">
        <v>10306</v>
      </c>
      <c r="P713" t="s">
        <v>1307</v>
      </c>
      <c r="Q713" t="s">
        <v>1319</v>
      </c>
      <c r="S713" t="s">
        <v>1333</v>
      </c>
      <c r="T713" t="s">
        <v>1340</v>
      </c>
      <c r="AA713">
        <v>0</v>
      </c>
      <c r="AB713">
        <v>0</v>
      </c>
      <c r="AD713">
        <v>0</v>
      </c>
      <c r="AE713">
        <v>0</v>
      </c>
      <c r="AF713">
        <v>0</v>
      </c>
      <c r="AG713">
        <v>0</v>
      </c>
    </row>
    <row r="714" spans="1:33">
      <c r="A714" s="1">
        <f>HYPERLINK("https://lsnyc.legalserver.org/matter/dynamic-profile/view/1906370","19-1906370")</f>
        <v>0</v>
      </c>
      <c r="B714" t="s">
        <v>36</v>
      </c>
      <c r="C714" t="s">
        <v>46</v>
      </c>
      <c r="D714" t="s">
        <v>100</v>
      </c>
      <c r="E714" t="s">
        <v>1158</v>
      </c>
      <c r="F714">
        <v>2094</v>
      </c>
      <c r="G714" t="s">
        <v>1209</v>
      </c>
      <c r="I714" t="s">
        <v>1300</v>
      </c>
      <c r="J714">
        <v>2</v>
      </c>
      <c r="K714">
        <v>0</v>
      </c>
      <c r="L714">
        <v>2</v>
      </c>
      <c r="M714" t="s">
        <v>1302</v>
      </c>
      <c r="N714">
        <v>31200</v>
      </c>
      <c r="O714">
        <v>10472</v>
      </c>
      <c r="P714" t="s">
        <v>1310</v>
      </c>
      <c r="Q714" t="s">
        <v>1324</v>
      </c>
      <c r="S714" t="s">
        <v>1334</v>
      </c>
      <c r="T714" t="s">
        <v>1336</v>
      </c>
      <c r="W714" t="s">
        <v>1366</v>
      </c>
      <c r="AA714">
        <v>0</v>
      </c>
      <c r="AB714">
        <v>0</v>
      </c>
      <c r="AD714">
        <v>0</v>
      </c>
      <c r="AE714">
        <v>0</v>
      </c>
      <c r="AF714">
        <v>0</v>
      </c>
      <c r="AG714">
        <v>0</v>
      </c>
    </row>
    <row r="715" spans="1:33">
      <c r="A715" s="1">
        <f>HYPERLINK("https://lsnyc.legalserver.org/matter/dynamic-profile/view/1906525","19-1906525")</f>
        <v>0</v>
      </c>
      <c r="B715" t="s">
        <v>35</v>
      </c>
      <c r="C715" t="s">
        <v>55</v>
      </c>
      <c r="D715" t="s">
        <v>595</v>
      </c>
      <c r="E715" t="s">
        <v>1159</v>
      </c>
      <c r="F715">
        <v>2091</v>
      </c>
      <c r="G715" t="s">
        <v>1178</v>
      </c>
      <c r="I715" t="s">
        <v>1300</v>
      </c>
      <c r="J715">
        <v>2</v>
      </c>
      <c r="K715">
        <v>2</v>
      </c>
      <c r="L715">
        <v>0</v>
      </c>
      <c r="M715" t="s">
        <v>1304</v>
      </c>
      <c r="N715">
        <v>141600</v>
      </c>
      <c r="O715">
        <v>11209</v>
      </c>
      <c r="P715" t="s">
        <v>1309</v>
      </c>
      <c r="Q715" t="s">
        <v>1316</v>
      </c>
      <c r="R715" t="s">
        <v>1319</v>
      </c>
      <c r="S715" t="s">
        <v>1337</v>
      </c>
      <c r="T715" t="s">
        <v>1332</v>
      </c>
      <c r="W715" t="s">
        <v>1361</v>
      </c>
      <c r="Y715" t="s">
        <v>1366</v>
      </c>
      <c r="AA715">
        <v>0</v>
      </c>
      <c r="AB715">
        <v>0</v>
      </c>
      <c r="AD715">
        <v>0</v>
      </c>
      <c r="AE715">
        <v>0</v>
      </c>
      <c r="AF715">
        <v>0</v>
      </c>
      <c r="AG715">
        <v>0</v>
      </c>
    </row>
    <row r="716" spans="1:33">
      <c r="A716" s="1">
        <f>HYPERLINK("https://lsnyc.legalserver.org/matter/dynamic-profile/view/1906509","19-1906509")</f>
        <v>0</v>
      </c>
      <c r="B716" t="s">
        <v>34</v>
      </c>
      <c r="C716" t="s">
        <v>65</v>
      </c>
      <c r="D716" t="s">
        <v>596</v>
      </c>
      <c r="E716" t="s">
        <v>1160</v>
      </c>
      <c r="F716">
        <v>2093</v>
      </c>
      <c r="G716" t="s">
        <v>1200</v>
      </c>
      <c r="I716" t="s">
        <v>1300</v>
      </c>
      <c r="J716">
        <v>2</v>
      </c>
      <c r="K716">
        <v>0</v>
      </c>
      <c r="L716">
        <v>0</v>
      </c>
      <c r="M716" t="s">
        <v>1301</v>
      </c>
      <c r="N716">
        <v>24000</v>
      </c>
      <c r="O716">
        <v>11379</v>
      </c>
      <c r="P716" t="s">
        <v>1308</v>
      </c>
      <c r="Q716" t="s">
        <v>1315</v>
      </c>
      <c r="S716" t="s">
        <v>1332</v>
      </c>
      <c r="AA716">
        <v>0</v>
      </c>
      <c r="AB716">
        <v>0</v>
      </c>
      <c r="AD716">
        <v>0</v>
      </c>
      <c r="AE716">
        <v>0</v>
      </c>
      <c r="AF716">
        <v>0</v>
      </c>
      <c r="AG716">
        <v>0</v>
      </c>
    </row>
    <row r="717" spans="1:33">
      <c r="A717" s="1">
        <f>HYPERLINK("https://lsnyc.legalserver.org/matter/dynamic-profile/view/1907004","19-1907004")</f>
        <v>0</v>
      </c>
      <c r="B717" t="s">
        <v>33</v>
      </c>
      <c r="C717" t="s">
        <v>56</v>
      </c>
      <c r="D717" t="s">
        <v>597</v>
      </c>
      <c r="E717" t="s">
        <v>1161</v>
      </c>
      <c r="F717">
        <v>2090</v>
      </c>
      <c r="G717" t="s">
        <v>1289</v>
      </c>
      <c r="I717" t="s">
        <v>1300</v>
      </c>
      <c r="J717">
        <v>2</v>
      </c>
      <c r="K717">
        <v>0</v>
      </c>
      <c r="L717">
        <v>0</v>
      </c>
      <c r="N717">
        <v>52578</v>
      </c>
      <c r="O717">
        <v>10306</v>
      </c>
      <c r="P717" t="s">
        <v>1307</v>
      </c>
      <c r="Q717" t="s">
        <v>1315</v>
      </c>
      <c r="S717" t="s">
        <v>1332</v>
      </c>
      <c r="W717" t="s">
        <v>1361</v>
      </c>
      <c r="AA717">
        <v>0</v>
      </c>
      <c r="AB717">
        <v>0</v>
      </c>
      <c r="AD717">
        <v>0</v>
      </c>
      <c r="AE717">
        <v>0</v>
      </c>
      <c r="AF717">
        <v>0</v>
      </c>
      <c r="AG717">
        <v>0</v>
      </c>
    </row>
    <row r="718" spans="1:33">
      <c r="A718" s="1">
        <f>HYPERLINK("https://lsnyc.legalserver.org/matter/dynamic-profile/view/1907721","19-1907721")</f>
        <v>0</v>
      </c>
      <c r="B718" t="s">
        <v>34</v>
      </c>
      <c r="C718" t="s">
        <v>39</v>
      </c>
      <c r="D718" t="s">
        <v>598</v>
      </c>
      <c r="E718" t="s">
        <v>1162</v>
      </c>
      <c r="F718">
        <v>2093</v>
      </c>
      <c r="G718" t="s">
        <v>1210</v>
      </c>
      <c r="I718" t="s">
        <v>1300</v>
      </c>
      <c r="J718">
        <v>4</v>
      </c>
      <c r="K718">
        <v>0</v>
      </c>
      <c r="L718">
        <v>0</v>
      </c>
      <c r="M718" t="s">
        <v>1301</v>
      </c>
      <c r="N718">
        <v>42000</v>
      </c>
      <c r="O718">
        <v>11004</v>
      </c>
      <c r="P718" t="s">
        <v>1308</v>
      </c>
      <c r="Q718" t="s">
        <v>1315</v>
      </c>
      <c r="S718" t="s">
        <v>1338</v>
      </c>
      <c r="AA718">
        <v>0</v>
      </c>
      <c r="AB718">
        <v>0</v>
      </c>
      <c r="AD718">
        <v>0</v>
      </c>
      <c r="AE718">
        <v>0</v>
      </c>
      <c r="AF718">
        <v>0</v>
      </c>
      <c r="AG718">
        <v>0</v>
      </c>
    </row>
    <row r="719" spans="1:33">
      <c r="A719" s="1">
        <f>HYPERLINK("https://lsnyc.legalserver.org/matter/dynamic-profile/view/1910461","19-1910461")</f>
        <v>0</v>
      </c>
      <c r="B719" t="s">
        <v>35</v>
      </c>
      <c r="C719" t="s">
        <v>67</v>
      </c>
      <c r="D719" t="s">
        <v>599</v>
      </c>
      <c r="E719" t="s">
        <v>1163</v>
      </c>
      <c r="F719">
        <v>2091</v>
      </c>
      <c r="I719" t="s">
        <v>1300</v>
      </c>
      <c r="J719">
        <v>1</v>
      </c>
      <c r="K719">
        <v>2</v>
      </c>
      <c r="L719">
        <v>0</v>
      </c>
      <c r="M719" t="s">
        <v>1301</v>
      </c>
      <c r="N719">
        <v>18200</v>
      </c>
      <c r="O719">
        <v>11235</v>
      </c>
      <c r="P719" t="s">
        <v>1309</v>
      </c>
      <c r="Q719" t="s">
        <v>1325</v>
      </c>
      <c r="S719" t="s">
        <v>1336</v>
      </c>
      <c r="W719" t="s">
        <v>1366</v>
      </c>
      <c r="AA719">
        <v>0</v>
      </c>
      <c r="AB719">
        <v>0</v>
      </c>
      <c r="AD719">
        <v>0</v>
      </c>
      <c r="AE719">
        <v>0</v>
      </c>
      <c r="AF719">
        <v>0</v>
      </c>
      <c r="AG719">
        <v>0</v>
      </c>
    </row>
    <row r="720" spans="1:33">
      <c r="A720" s="1">
        <f>HYPERLINK("https://lsnyc.legalserver.org/matter/dynamic-profile/view/1910591","19-1910591")</f>
        <v>0</v>
      </c>
      <c r="B720" t="s">
        <v>33</v>
      </c>
      <c r="C720" t="s">
        <v>38</v>
      </c>
      <c r="D720" t="s">
        <v>600</v>
      </c>
      <c r="E720" t="s">
        <v>811</v>
      </c>
      <c r="F720">
        <v>2090</v>
      </c>
      <c r="G720" t="s">
        <v>1207</v>
      </c>
      <c r="I720" t="s">
        <v>1300</v>
      </c>
      <c r="J720">
        <v>5</v>
      </c>
      <c r="K720">
        <v>0</v>
      </c>
      <c r="L720">
        <v>0</v>
      </c>
      <c r="N720">
        <v>38000</v>
      </c>
      <c r="O720">
        <v>10305</v>
      </c>
      <c r="P720" t="s">
        <v>1307</v>
      </c>
      <c r="Q720" t="s">
        <v>1315</v>
      </c>
      <c r="R720" t="s">
        <v>1314</v>
      </c>
      <c r="S720" t="s">
        <v>1337</v>
      </c>
      <c r="AA720">
        <v>0</v>
      </c>
      <c r="AB720">
        <v>0</v>
      </c>
      <c r="AD720">
        <v>0</v>
      </c>
      <c r="AE720">
        <v>0</v>
      </c>
      <c r="AF720">
        <v>0</v>
      </c>
      <c r="AG720">
        <v>0</v>
      </c>
    </row>
    <row r="721" spans="1:33">
      <c r="A721" s="1">
        <f>HYPERLINK("https://lsnyc.legalserver.org/matter/dynamic-profile/view/1911566","19-1911566")</f>
        <v>0</v>
      </c>
      <c r="B721" t="s">
        <v>33</v>
      </c>
      <c r="C721" t="s">
        <v>70</v>
      </c>
      <c r="D721" t="s">
        <v>329</v>
      </c>
      <c r="E721" t="s">
        <v>1164</v>
      </c>
      <c r="F721">
        <v>2090</v>
      </c>
      <c r="I721" t="s">
        <v>1300</v>
      </c>
      <c r="J721">
        <v>3</v>
      </c>
      <c r="K721">
        <v>3</v>
      </c>
      <c r="L721">
        <v>0</v>
      </c>
      <c r="N721">
        <v>132400</v>
      </c>
      <c r="O721">
        <v>10309</v>
      </c>
      <c r="P721" t="s">
        <v>1307</v>
      </c>
      <c r="Q721" t="s">
        <v>1315</v>
      </c>
      <c r="S721" t="s">
        <v>1340</v>
      </c>
      <c r="AA721">
        <v>0</v>
      </c>
      <c r="AB721">
        <v>0</v>
      </c>
      <c r="AD721">
        <v>0</v>
      </c>
      <c r="AE721">
        <v>0</v>
      </c>
      <c r="AF721">
        <v>0</v>
      </c>
      <c r="AG721">
        <v>0</v>
      </c>
    </row>
    <row r="722" spans="1:33">
      <c r="A722" s="1">
        <f>HYPERLINK("https://lsnyc.legalserver.org/matter/dynamic-profile/view/1911727","19-1911727")</f>
        <v>0</v>
      </c>
      <c r="B722" t="s">
        <v>34</v>
      </c>
      <c r="C722" t="s">
        <v>39</v>
      </c>
      <c r="D722" t="s">
        <v>144</v>
      </c>
      <c r="E722" t="s">
        <v>1165</v>
      </c>
      <c r="F722">
        <v>2093</v>
      </c>
      <c r="I722" t="s">
        <v>1300</v>
      </c>
      <c r="J722">
        <v>1</v>
      </c>
      <c r="K722">
        <v>0</v>
      </c>
      <c r="L722">
        <v>0</v>
      </c>
      <c r="N722">
        <v>0</v>
      </c>
      <c r="O722">
        <v>11378</v>
      </c>
      <c r="P722" t="s">
        <v>1308</v>
      </c>
      <c r="Q722" t="s">
        <v>1322</v>
      </c>
      <c r="S722" t="s">
        <v>1337</v>
      </c>
      <c r="AA722">
        <v>0</v>
      </c>
      <c r="AB722">
        <v>0</v>
      </c>
      <c r="AD722">
        <v>0</v>
      </c>
      <c r="AE722">
        <v>0</v>
      </c>
      <c r="AF722">
        <v>0</v>
      </c>
      <c r="AG722">
        <v>0</v>
      </c>
    </row>
    <row r="723" spans="1:33">
      <c r="A723" s="1">
        <f>HYPERLINK("https://lsnyc.legalserver.org/matter/dynamic-profile/view/1912636","19-1912636")</f>
        <v>0</v>
      </c>
      <c r="B723" t="s">
        <v>33</v>
      </c>
      <c r="C723" t="s">
        <v>53</v>
      </c>
      <c r="D723" t="s">
        <v>100</v>
      </c>
      <c r="E723" t="s">
        <v>728</v>
      </c>
      <c r="F723">
        <v>2090</v>
      </c>
      <c r="G723" t="s">
        <v>1212</v>
      </c>
      <c r="I723" t="s">
        <v>1300</v>
      </c>
      <c r="J723">
        <v>3</v>
      </c>
      <c r="K723">
        <v>3</v>
      </c>
      <c r="L723">
        <v>0</v>
      </c>
      <c r="N723">
        <v>94552</v>
      </c>
      <c r="O723">
        <v>10309</v>
      </c>
      <c r="P723" t="s">
        <v>1307</v>
      </c>
      <c r="Q723" t="s">
        <v>1320</v>
      </c>
      <c r="S723" t="s">
        <v>1343</v>
      </c>
      <c r="AA723">
        <v>0</v>
      </c>
      <c r="AB723">
        <v>0</v>
      </c>
      <c r="AD723">
        <v>0</v>
      </c>
      <c r="AE723">
        <v>0</v>
      </c>
      <c r="AF723">
        <v>0</v>
      </c>
      <c r="AG723">
        <v>0</v>
      </c>
    </row>
    <row r="724" spans="1:33">
      <c r="A724" s="1">
        <f>HYPERLINK("https://lsnyc.legalserver.org/matter/dynamic-profile/view/1912124","19-1912124")</f>
        <v>0</v>
      </c>
      <c r="B724" t="s">
        <v>35</v>
      </c>
      <c r="C724" t="s">
        <v>55</v>
      </c>
      <c r="D724" t="s">
        <v>601</v>
      </c>
      <c r="E724" t="s">
        <v>1166</v>
      </c>
      <c r="F724">
        <v>2091</v>
      </c>
      <c r="G724" t="s">
        <v>1224</v>
      </c>
      <c r="I724" t="s">
        <v>1300</v>
      </c>
      <c r="J724">
        <v>1</v>
      </c>
      <c r="K724">
        <v>0</v>
      </c>
      <c r="L724">
        <v>0</v>
      </c>
      <c r="N724">
        <v>25068</v>
      </c>
      <c r="O724">
        <v>11210</v>
      </c>
      <c r="P724" t="s">
        <v>1309</v>
      </c>
      <c r="Q724" t="s">
        <v>1315</v>
      </c>
      <c r="S724" t="s">
        <v>1338</v>
      </c>
      <c r="AA724">
        <v>0</v>
      </c>
      <c r="AB724">
        <v>0</v>
      </c>
      <c r="AD724">
        <v>0</v>
      </c>
      <c r="AE724">
        <v>0</v>
      </c>
      <c r="AF724">
        <v>0</v>
      </c>
      <c r="AG724">
        <v>0</v>
      </c>
    </row>
    <row r="725" spans="1:33">
      <c r="A725" s="1">
        <f>HYPERLINK("https://lsnyc.legalserver.org/matter/dynamic-profile/view/1912766","19-1912766")</f>
        <v>0</v>
      </c>
      <c r="B725" t="s">
        <v>34</v>
      </c>
      <c r="C725" t="s">
        <v>65</v>
      </c>
      <c r="D725" t="s">
        <v>348</v>
      </c>
      <c r="E725" t="s">
        <v>1167</v>
      </c>
      <c r="F725">
        <v>2093</v>
      </c>
      <c r="G725" t="s">
        <v>1224</v>
      </c>
      <c r="I725" t="s">
        <v>1300</v>
      </c>
      <c r="J725">
        <v>1</v>
      </c>
      <c r="K725">
        <v>0</v>
      </c>
      <c r="L725">
        <v>0</v>
      </c>
      <c r="M725" t="s">
        <v>1301</v>
      </c>
      <c r="N725">
        <v>0</v>
      </c>
      <c r="O725">
        <v>11378</v>
      </c>
      <c r="P725" t="s">
        <v>1308</v>
      </c>
      <c r="Q725" t="s">
        <v>1317</v>
      </c>
      <c r="S725" t="s">
        <v>1332</v>
      </c>
      <c r="AA725">
        <v>0</v>
      </c>
      <c r="AB725">
        <v>0</v>
      </c>
      <c r="AD725">
        <v>0</v>
      </c>
      <c r="AE725">
        <v>0</v>
      </c>
      <c r="AF725">
        <v>0</v>
      </c>
      <c r="AG725">
        <v>0</v>
      </c>
    </row>
    <row r="726" spans="1:33">
      <c r="A726" s="1">
        <f>HYPERLINK("https://lsnyc.legalserver.org/matter/dynamic-profile/view/1913798","19-1913798")</f>
        <v>0</v>
      </c>
      <c r="B726" t="s">
        <v>33</v>
      </c>
      <c r="C726" t="s">
        <v>70</v>
      </c>
      <c r="D726" t="s">
        <v>392</v>
      </c>
      <c r="E726" t="s">
        <v>1168</v>
      </c>
      <c r="F726">
        <v>2090</v>
      </c>
      <c r="I726" t="s">
        <v>1300</v>
      </c>
      <c r="J726">
        <v>2</v>
      </c>
      <c r="K726">
        <v>2</v>
      </c>
      <c r="L726">
        <v>0</v>
      </c>
      <c r="N726">
        <v>101950</v>
      </c>
      <c r="O726">
        <v>10310</v>
      </c>
      <c r="P726" t="s">
        <v>1307</v>
      </c>
      <c r="AA726">
        <v>0</v>
      </c>
      <c r="AB726">
        <v>0</v>
      </c>
      <c r="AD726">
        <v>0</v>
      </c>
      <c r="AE726">
        <v>0</v>
      </c>
      <c r="AF726">
        <v>0</v>
      </c>
      <c r="AG726">
        <v>0</v>
      </c>
    </row>
    <row r="727" spans="1:33">
      <c r="A727" s="1">
        <f>HYPERLINK("https://lsnyc.legalserver.org/matter/dynamic-profile/view/1913803","19-1913803")</f>
        <v>0</v>
      </c>
      <c r="B727" t="s">
        <v>36</v>
      </c>
      <c r="C727" t="s">
        <v>46</v>
      </c>
      <c r="D727" t="s">
        <v>562</v>
      </c>
      <c r="E727" t="s">
        <v>1169</v>
      </c>
      <c r="F727">
        <v>2094</v>
      </c>
      <c r="G727" t="s">
        <v>1179</v>
      </c>
      <c r="I727" t="s">
        <v>1300</v>
      </c>
      <c r="J727">
        <v>2</v>
      </c>
      <c r="K727">
        <v>2</v>
      </c>
      <c r="L727">
        <v>0</v>
      </c>
      <c r="M727" t="s">
        <v>1301</v>
      </c>
      <c r="N727">
        <v>117000</v>
      </c>
      <c r="O727">
        <v>10465</v>
      </c>
      <c r="P727" t="s">
        <v>1310</v>
      </c>
      <c r="Q727" t="s">
        <v>1314</v>
      </c>
      <c r="S727" t="s">
        <v>1337</v>
      </c>
      <c r="W727" t="s">
        <v>1366</v>
      </c>
      <c r="AA727">
        <v>0</v>
      </c>
      <c r="AB727">
        <v>0</v>
      </c>
      <c r="AD727">
        <v>0</v>
      </c>
      <c r="AE727">
        <v>0</v>
      </c>
      <c r="AF727">
        <v>0</v>
      </c>
      <c r="AG727">
        <v>0</v>
      </c>
    </row>
    <row r="728" spans="1:33">
      <c r="A728" s="1">
        <f>HYPERLINK("https://lsnyc.legalserver.org/matter/dynamic-profile/view/1914003","19-1914003")</f>
        <v>0</v>
      </c>
      <c r="B728" t="s">
        <v>33</v>
      </c>
      <c r="C728" t="s">
        <v>56</v>
      </c>
      <c r="D728" t="s">
        <v>179</v>
      </c>
      <c r="E728" t="s">
        <v>1170</v>
      </c>
      <c r="F728">
        <v>2090</v>
      </c>
      <c r="I728" t="s">
        <v>1300</v>
      </c>
      <c r="J728">
        <v>2</v>
      </c>
      <c r="K728">
        <v>2</v>
      </c>
      <c r="L728">
        <v>1</v>
      </c>
      <c r="M728" t="s">
        <v>1301</v>
      </c>
      <c r="N728">
        <v>64400</v>
      </c>
      <c r="O728">
        <v>10312</v>
      </c>
      <c r="P728" t="s">
        <v>1307</v>
      </c>
      <c r="AA728">
        <v>0</v>
      </c>
      <c r="AB728">
        <v>0</v>
      </c>
      <c r="AD728">
        <v>0</v>
      </c>
      <c r="AE728">
        <v>0</v>
      </c>
      <c r="AF728">
        <v>0</v>
      </c>
      <c r="AG728">
        <v>0</v>
      </c>
    </row>
    <row r="729" spans="1:33">
      <c r="A729" s="1">
        <f>HYPERLINK("https://lsnyc.legalserver.org/matter/dynamic-profile/view/1914577","19-1914577")</f>
        <v>0</v>
      </c>
      <c r="B729" t="s">
        <v>35</v>
      </c>
      <c r="C729" t="s">
        <v>52</v>
      </c>
      <c r="D729" t="s">
        <v>602</v>
      </c>
      <c r="E729" t="s">
        <v>1171</v>
      </c>
      <c r="F729">
        <v>2091</v>
      </c>
      <c r="G729" t="s">
        <v>1206</v>
      </c>
      <c r="I729" t="s">
        <v>1300</v>
      </c>
      <c r="J729">
        <v>2</v>
      </c>
      <c r="K729">
        <v>0</v>
      </c>
      <c r="L729">
        <v>0</v>
      </c>
      <c r="M729" t="s">
        <v>1302</v>
      </c>
      <c r="N729">
        <v>45600</v>
      </c>
      <c r="O729">
        <v>11204</v>
      </c>
      <c r="P729" t="s">
        <v>1309</v>
      </c>
      <c r="Q729" t="s">
        <v>1317</v>
      </c>
      <c r="S729" t="s">
        <v>1337</v>
      </c>
      <c r="AA729">
        <v>0</v>
      </c>
      <c r="AB729">
        <v>0</v>
      </c>
      <c r="AD729">
        <v>0</v>
      </c>
      <c r="AE729">
        <v>0</v>
      </c>
      <c r="AF729">
        <v>0</v>
      </c>
      <c r="AG729">
        <v>0</v>
      </c>
    </row>
    <row r="730" spans="1:33">
      <c r="A730" s="1">
        <f>HYPERLINK("https://lsnyc.legalserver.org/matter/dynamic-profile/view/1914917","19-1914917")</f>
        <v>0</v>
      </c>
      <c r="B730" t="s">
        <v>33</v>
      </c>
      <c r="C730" t="s">
        <v>70</v>
      </c>
      <c r="D730" t="s">
        <v>603</v>
      </c>
      <c r="E730" t="s">
        <v>1172</v>
      </c>
      <c r="F730">
        <v>2090</v>
      </c>
      <c r="G730" t="s">
        <v>1207</v>
      </c>
      <c r="I730" t="s">
        <v>1300</v>
      </c>
      <c r="J730">
        <v>2</v>
      </c>
      <c r="K730">
        <v>0</v>
      </c>
      <c r="L730">
        <v>2</v>
      </c>
      <c r="M730" t="s">
        <v>1301</v>
      </c>
      <c r="N730">
        <v>48048</v>
      </c>
      <c r="O730">
        <v>10308</v>
      </c>
      <c r="P730" t="s">
        <v>1307</v>
      </c>
      <c r="Q730" t="s">
        <v>1320</v>
      </c>
      <c r="R730" t="s">
        <v>1314</v>
      </c>
      <c r="S730" t="s">
        <v>1332</v>
      </c>
      <c r="T730" t="s">
        <v>1336</v>
      </c>
      <c r="AA730">
        <v>0</v>
      </c>
      <c r="AB730">
        <v>0</v>
      </c>
      <c r="AD730">
        <v>0</v>
      </c>
      <c r="AE730">
        <v>0</v>
      </c>
      <c r="AF730">
        <v>0</v>
      </c>
      <c r="AG730">
        <v>0</v>
      </c>
    </row>
    <row r="731" spans="1:33">
      <c r="A731" s="1">
        <f>HYPERLINK("https://lsnyc.legalserver.org/matter/dynamic-profile/view/1915485","19-1915485")</f>
        <v>0</v>
      </c>
      <c r="B731" t="s">
        <v>35</v>
      </c>
      <c r="C731" t="s">
        <v>52</v>
      </c>
      <c r="D731" t="s">
        <v>179</v>
      </c>
      <c r="E731" t="s">
        <v>1173</v>
      </c>
      <c r="F731">
        <v>2091</v>
      </c>
      <c r="G731" t="s">
        <v>1224</v>
      </c>
      <c r="I731" t="s">
        <v>1300</v>
      </c>
      <c r="J731">
        <v>3</v>
      </c>
      <c r="K731">
        <v>2</v>
      </c>
      <c r="L731">
        <v>1</v>
      </c>
      <c r="M731" t="s">
        <v>1301</v>
      </c>
      <c r="N731">
        <v>110247</v>
      </c>
      <c r="O731">
        <v>11234</v>
      </c>
      <c r="P731" t="s">
        <v>1309</v>
      </c>
      <c r="Q731" t="s">
        <v>1321</v>
      </c>
      <c r="R731" t="s">
        <v>1325</v>
      </c>
      <c r="S731" t="s">
        <v>1337</v>
      </c>
      <c r="AA731">
        <v>0</v>
      </c>
      <c r="AB731">
        <v>0</v>
      </c>
      <c r="AD731">
        <v>0</v>
      </c>
      <c r="AE731">
        <v>0</v>
      </c>
      <c r="AF731">
        <v>0</v>
      </c>
      <c r="AG731">
        <v>0</v>
      </c>
    </row>
    <row r="732" spans="1:33">
      <c r="A732" s="1">
        <f>HYPERLINK("https://lsnyc.legalserver.org/matter/dynamic-profile/view/1915804","19-1915804")</f>
        <v>0</v>
      </c>
      <c r="B732" t="s">
        <v>33</v>
      </c>
      <c r="C732" t="s">
        <v>70</v>
      </c>
      <c r="D732" t="s">
        <v>604</v>
      </c>
      <c r="E732" t="s">
        <v>1174</v>
      </c>
      <c r="F732">
        <v>2090</v>
      </c>
      <c r="I732" t="s">
        <v>1300</v>
      </c>
      <c r="J732">
        <v>1</v>
      </c>
      <c r="K732">
        <v>0</v>
      </c>
      <c r="L732">
        <v>0</v>
      </c>
      <c r="N732">
        <v>18936</v>
      </c>
      <c r="O732">
        <v>10312</v>
      </c>
      <c r="P732" t="s">
        <v>1307</v>
      </c>
      <c r="AA732">
        <v>0</v>
      </c>
      <c r="AB732">
        <v>0</v>
      </c>
      <c r="AD732">
        <v>0</v>
      </c>
      <c r="AE732">
        <v>0</v>
      </c>
      <c r="AF732">
        <v>0</v>
      </c>
      <c r="AG732">
        <v>0</v>
      </c>
    </row>
    <row r="733" spans="1:33">
      <c r="A733" s="1">
        <f>HYPERLINK("https://lsnyc.legalserver.org/matter/dynamic-profile/view/1915766","19-1915766")</f>
        <v>0</v>
      </c>
      <c r="B733" t="s">
        <v>33</v>
      </c>
      <c r="C733" t="s">
        <v>63</v>
      </c>
      <c r="D733" t="s">
        <v>199</v>
      </c>
      <c r="E733" t="s">
        <v>1175</v>
      </c>
      <c r="F733">
        <v>2090</v>
      </c>
      <c r="I733" t="s">
        <v>1300</v>
      </c>
      <c r="J733">
        <v>3</v>
      </c>
      <c r="K733">
        <v>0</v>
      </c>
      <c r="L733">
        <v>0</v>
      </c>
      <c r="N733">
        <v>10800</v>
      </c>
      <c r="O733">
        <v>10306</v>
      </c>
      <c r="P733" t="s">
        <v>1307</v>
      </c>
      <c r="AA733">
        <v>0</v>
      </c>
      <c r="AB733">
        <v>0</v>
      </c>
      <c r="AD733">
        <v>0</v>
      </c>
      <c r="AE733">
        <v>0</v>
      </c>
      <c r="AF733">
        <v>0</v>
      </c>
      <c r="AG733">
        <v>0</v>
      </c>
    </row>
    <row r="734" spans="1:33">
      <c r="A734" s="1">
        <f>HYPERLINK("https://lsnyc.legalserver.org/matter/dynamic-profile/view/1917173","19-1917173")</f>
        <v>0</v>
      </c>
      <c r="B734" t="s">
        <v>34</v>
      </c>
      <c r="C734" t="s">
        <v>39</v>
      </c>
      <c r="D734" t="s">
        <v>605</v>
      </c>
      <c r="E734" t="s">
        <v>1176</v>
      </c>
      <c r="F734">
        <v>2093</v>
      </c>
      <c r="I734" t="s">
        <v>1300</v>
      </c>
      <c r="J734">
        <v>3</v>
      </c>
      <c r="K734">
        <v>1</v>
      </c>
      <c r="L734">
        <v>0</v>
      </c>
      <c r="N734">
        <v>211000</v>
      </c>
      <c r="O734">
        <v>11105</v>
      </c>
      <c r="P734" t="s">
        <v>1308</v>
      </c>
      <c r="AA734">
        <v>0</v>
      </c>
      <c r="AB734">
        <v>0</v>
      </c>
      <c r="AD734">
        <v>0</v>
      </c>
      <c r="AE734">
        <v>0</v>
      </c>
      <c r="AF734">
        <v>0</v>
      </c>
      <c r="AG734">
        <v>0</v>
      </c>
    </row>
    <row r="735" spans="1:33">
      <c r="A735" s="1">
        <f>HYPERLINK("https://lsnyc.legalserver.org/matter/dynamic-profile/view/1917013","19-1917013")</f>
        <v>0</v>
      </c>
      <c r="B735" t="s">
        <v>35</v>
      </c>
      <c r="C735" t="s">
        <v>43</v>
      </c>
      <c r="D735" t="s">
        <v>606</v>
      </c>
      <c r="E735" t="s">
        <v>1177</v>
      </c>
      <c r="F735">
        <v>2091</v>
      </c>
      <c r="I735" t="s">
        <v>1300</v>
      </c>
      <c r="J735">
        <v>4</v>
      </c>
      <c r="K735">
        <v>0</v>
      </c>
      <c r="L735">
        <v>0</v>
      </c>
      <c r="N735">
        <v>36000</v>
      </c>
      <c r="O735">
        <v>11218</v>
      </c>
      <c r="P735" t="s">
        <v>1309</v>
      </c>
      <c r="AA735">
        <v>0</v>
      </c>
      <c r="AB735">
        <v>0</v>
      </c>
      <c r="AD735">
        <v>0</v>
      </c>
      <c r="AE735">
        <v>0</v>
      </c>
      <c r="AF735">
        <v>0</v>
      </c>
      <c r="AG7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2019-12-30T17:10:35Z</dcterms:created>
  <dcterms:modified xsi:type="dcterms:W3CDTF">2019-12-30T17:10:35Z</dcterms:modified>
</cp:coreProperties>
</file>